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ver\OneDrive\Documentos\AA ENGTOP\3 - Terra Nova\AA OBRAS 2024\Construções de Quadras (Pátio Multiuso) em diversas localidades\Construção Quadra Várzea Alegre\"/>
    </mc:Choice>
  </mc:AlternateContent>
  <xr:revisionPtr revIDLastSave="0" documentId="13_ncr:1_{B2695382-4E26-4D51-9386-04B38D3F5E44}" xr6:coauthVersionLast="47" xr6:coauthVersionMax="47" xr10:uidLastSave="{00000000-0000-0000-0000-000000000000}"/>
  <bookViews>
    <workbookView xWindow="-108" yWindow="-108" windowWidth="23256" windowHeight="12456" xr2:uid="{B7444BAD-9B39-434F-9F1E-72EA063B17D4}"/>
  </bookViews>
  <sheets>
    <sheet name="ORÇ BASE" sheetId="1" r:id="rId1"/>
    <sheet name="MC ORÇ BASE" sheetId="2" r:id="rId2"/>
    <sheet name="COMPOSIÇÕES" sheetId="3" r:id="rId3"/>
    <sheet name="CRONOGRAMA" sheetId="4" r:id="rId4"/>
    <sheet name="BDI" sheetId="5" r:id="rId5"/>
    <sheet name="COTAÇÕES" sheetId="6" r:id="rId6"/>
  </sheets>
  <definedNames>
    <definedName name="_xlnm.Print_Area" localSheetId="4">BDI!$A$1:$C$38</definedName>
    <definedName name="_xlnm.Print_Area" localSheetId="2">COMPOSIÇÕES!$A$1:$H$143</definedName>
    <definedName name="_xlnm.Print_Area" localSheetId="3">CRONOGRAMA!$A$1:$H$18</definedName>
    <definedName name="_xlnm.Print_Area" localSheetId="1">'MC ORÇ BASE'!$A$1:$H$299</definedName>
    <definedName name="_xlnm.Print_Area" localSheetId="0">'ORÇ BASE'!$A$1:$G$83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2" l="1"/>
  <c r="H37" i="2"/>
  <c r="H35" i="2"/>
  <c r="I17" i="1"/>
  <c r="F17" i="1"/>
  <c r="A6" i="5"/>
  <c r="A5" i="5"/>
  <c r="A4" i="4"/>
  <c r="A3" i="4"/>
  <c r="A4" i="2"/>
  <c r="A3" i="2"/>
  <c r="E246" i="2"/>
  <c r="H246" i="2" s="1"/>
  <c r="E245" i="2"/>
  <c r="H245" i="2" s="1"/>
  <c r="E244" i="2"/>
  <c r="H244" i="2" s="1"/>
  <c r="E243" i="2"/>
  <c r="H243" i="2" s="1"/>
  <c r="E231" i="2"/>
  <c r="H231" i="2" s="1"/>
  <c r="E230" i="2"/>
  <c r="H230" i="2" s="1"/>
  <c r="E229" i="2"/>
  <c r="H229" i="2" s="1"/>
  <c r="E228" i="2"/>
  <c r="H228" i="2" s="1"/>
  <c r="E127" i="2"/>
  <c r="H127" i="2" s="1"/>
  <c r="E126" i="2"/>
  <c r="H126" i="2" s="1"/>
  <c r="E125" i="2"/>
  <c r="H125" i="2" s="1"/>
  <c r="E124" i="2"/>
  <c r="H124" i="2" s="1"/>
  <c r="E112" i="2"/>
  <c r="H112" i="2" s="1"/>
  <c r="E113" i="2"/>
  <c r="H113" i="2" s="1"/>
  <c r="E111" i="2"/>
  <c r="H111" i="2" s="1"/>
  <c r="E110" i="2"/>
  <c r="H110" i="2" s="1"/>
  <c r="E61" i="2"/>
  <c r="D61" i="2"/>
  <c r="E57" i="2"/>
  <c r="F55" i="2"/>
  <c r="E55" i="2"/>
  <c r="H49" i="2"/>
  <c r="H50" i="2"/>
  <c r="H48" i="2"/>
  <c r="H26" i="2"/>
  <c r="H27" i="2"/>
  <c r="H43" i="2"/>
  <c r="H44" i="2"/>
  <c r="K42" i="2"/>
  <c r="K41" i="2"/>
  <c r="H42" i="2"/>
  <c r="H41" i="2"/>
  <c r="H19" i="1"/>
  <c r="I19" i="1"/>
  <c r="F19" i="1" s="1"/>
  <c r="I18" i="1"/>
  <c r="F18" i="1" s="1"/>
  <c r="H28" i="2"/>
  <c r="H29" i="2"/>
  <c r="H30" i="2"/>
  <c r="H25" i="2"/>
  <c r="H53" i="1"/>
  <c r="I53" i="1" s="1"/>
  <c r="F53" i="1" s="1"/>
  <c r="H47" i="1"/>
  <c r="I47" i="1" s="1"/>
  <c r="F47" i="1" s="1"/>
  <c r="H41" i="1"/>
  <c r="I41" i="1" s="1"/>
  <c r="F41" i="1" s="1"/>
  <c r="H27" i="1"/>
  <c r="H21" i="1"/>
  <c r="I21" i="1" s="1"/>
  <c r="F21" i="1" s="1"/>
  <c r="H51" i="5"/>
  <c r="G51" i="5"/>
  <c r="F51" i="5"/>
  <c r="H29" i="5"/>
  <c r="G29" i="5"/>
  <c r="F29" i="5"/>
  <c r="C29" i="5"/>
  <c r="C27" i="5"/>
  <c r="C22" i="5"/>
  <c r="C43" i="5" s="1"/>
  <c r="H135" i="3"/>
  <c r="H134" i="3"/>
  <c r="H136" i="3" s="1"/>
  <c r="H133" i="3"/>
  <c r="H132" i="3"/>
  <c r="H131" i="3"/>
  <c r="H130" i="3"/>
  <c r="H118" i="3"/>
  <c r="H121" i="3" s="1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19" i="3" s="1"/>
  <c r="H102" i="3"/>
  <c r="H101" i="3"/>
  <c r="H100" i="3"/>
  <c r="H99" i="3"/>
  <c r="H98" i="3"/>
  <c r="H97" i="3"/>
  <c r="H96" i="3"/>
  <c r="H85" i="3"/>
  <c r="H83" i="3"/>
  <c r="H82" i="3"/>
  <c r="H81" i="3"/>
  <c r="H80" i="3"/>
  <c r="H84" i="3" s="1"/>
  <c r="H87" i="3" s="1"/>
  <c r="H70" i="3"/>
  <c r="H69" i="3"/>
  <c r="H67" i="3"/>
  <c r="H66" i="3"/>
  <c r="H65" i="3"/>
  <c r="H68" i="3" s="1"/>
  <c r="H71" i="3" s="1"/>
  <c r="J63" i="3"/>
  <c r="H50" i="3"/>
  <c r="H52" i="3" s="1"/>
  <c r="G11" i="3" s="1"/>
  <c r="H11" i="3" s="1"/>
  <c r="H48" i="3"/>
  <c r="H47" i="3"/>
  <c r="H34" i="3"/>
  <c r="H33" i="3"/>
  <c r="H32" i="3"/>
  <c r="H31" i="3"/>
  <c r="H30" i="3"/>
  <c r="H29" i="3"/>
  <c r="H28" i="3"/>
  <c r="H36" i="3" s="1"/>
  <c r="H27" i="3"/>
  <c r="H26" i="3"/>
  <c r="H25" i="3"/>
  <c r="H35" i="3" s="1"/>
  <c r="H38" i="3" s="1"/>
  <c r="G8" i="3" s="1"/>
  <c r="H8" i="3" s="1"/>
  <c r="H10" i="3"/>
  <c r="H9" i="3"/>
  <c r="H298" i="2"/>
  <c r="E72" i="1" s="1"/>
  <c r="H294" i="2"/>
  <c r="E71" i="1" s="1"/>
  <c r="H290" i="2"/>
  <c r="E70" i="1" s="1"/>
  <c r="G283" i="2"/>
  <c r="H282" i="2"/>
  <c r="H281" i="2"/>
  <c r="E280" i="2"/>
  <c r="H280" i="2" s="1"/>
  <c r="H279" i="2"/>
  <c r="H278" i="2"/>
  <c r="J277" i="2"/>
  <c r="H274" i="2"/>
  <c r="H273" i="2"/>
  <c r="H272" i="2"/>
  <c r="H271" i="2"/>
  <c r="H270" i="2"/>
  <c r="H269" i="2"/>
  <c r="H268" i="2"/>
  <c r="D267" i="2"/>
  <c r="H267" i="2" s="1"/>
  <c r="D266" i="2"/>
  <c r="H266" i="2" s="1"/>
  <c r="H265" i="2"/>
  <c r="H264" i="2"/>
  <c r="H263" i="2"/>
  <c r="H262" i="2"/>
  <c r="H258" i="2"/>
  <c r="H259" i="2" s="1"/>
  <c r="E64" i="1" s="1"/>
  <c r="H254" i="2"/>
  <c r="H253" i="2"/>
  <c r="H252" i="2"/>
  <c r="H251" i="2"/>
  <c r="H250" i="2"/>
  <c r="D249" i="2"/>
  <c r="H249" i="2" s="1"/>
  <c r="H248" i="2"/>
  <c r="H247" i="2"/>
  <c r="H239" i="2"/>
  <c r="H238" i="2"/>
  <c r="H237" i="2"/>
  <c r="H236" i="2"/>
  <c r="H235" i="2"/>
  <c r="D234" i="2"/>
  <c r="H234" i="2" s="1"/>
  <c r="H233" i="2"/>
  <c r="H232" i="2"/>
  <c r="G223" i="2"/>
  <c r="H223" i="2" s="1"/>
  <c r="H224" i="2" s="1"/>
  <c r="E58" i="1" s="1"/>
  <c r="H220" i="2"/>
  <c r="E57" i="1" s="1"/>
  <c r="H216" i="2"/>
  <c r="E56" i="1" s="1"/>
  <c r="H212" i="2"/>
  <c r="E55" i="1" s="1"/>
  <c r="H208" i="2"/>
  <c r="E54" i="1" s="1"/>
  <c r="H203" i="2"/>
  <c r="H204" i="2" s="1"/>
  <c r="E53" i="1" s="1"/>
  <c r="H199" i="2"/>
  <c r="H200" i="2" s="1"/>
  <c r="E52" i="1" s="1"/>
  <c r="H196" i="2"/>
  <c r="E51" i="1" s="1"/>
  <c r="H192" i="2"/>
  <c r="E50" i="1" s="1"/>
  <c r="G187" i="2"/>
  <c r="H187" i="2" s="1"/>
  <c r="D186" i="2"/>
  <c r="H186" i="2" s="1"/>
  <c r="D182" i="2"/>
  <c r="H182" i="2" s="1"/>
  <c r="H183" i="2" s="1"/>
  <c r="E48" i="1" s="1"/>
  <c r="H179" i="2"/>
  <c r="E47" i="1" s="1"/>
  <c r="K178" i="2"/>
  <c r="K177" i="2"/>
  <c r="H173" i="2"/>
  <c r="H172" i="2"/>
  <c r="H171" i="2"/>
  <c r="H167" i="2"/>
  <c r="H168" i="2" s="1"/>
  <c r="E42" i="1" s="1"/>
  <c r="H163" i="2"/>
  <c r="H164" i="2" s="1"/>
  <c r="E41" i="1" s="1"/>
  <c r="H159" i="2"/>
  <c r="H160" i="2" s="1"/>
  <c r="E40" i="1" s="1"/>
  <c r="H154" i="2"/>
  <c r="H153" i="2"/>
  <c r="E152" i="2"/>
  <c r="H152" i="2" s="1"/>
  <c r="H151" i="2"/>
  <c r="H150" i="2"/>
  <c r="H145" i="2"/>
  <c r="H146" i="2" s="1"/>
  <c r="E32" i="1" s="1"/>
  <c r="H141" i="2"/>
  <c r="H140" i="2"/>
  <c r="H139" i="2"/>
  <c r="H135" i="2"/>
  <c r="H134" i="2"/>
  <c r="H133" i="2"/>
  <c r="H132" i="2"/>
  <c r="H131" i="2"/>
  <c r="D130" i="2"/>
  <c r="H130" i="2" s="1"/>
  <c r="H129" i="2"/>
  <c r="H128" i="2"/>
  <c r="H120" i="2"/>
  <c r="H119" i="2"/>
  <c r="H118" i="2"/>
  <c r="H117" i="2"/>
  <c r="H116" i="2"/>
  <c r="H115" i="2"/>
  <c r="H114" i="2"/>
  <c r="J107" i="2"/>
  <c r="H106" i="2"/>
  <c r="H105" i="2"/>
  <c r="D104" i="2"/>
  <c r="H104" i="2" s="1"/>
  <c r="D103" i="2"/>
  <c r="H103" i="2" s="1"/>
  <c r="H102" i="2"/>
  <c r="H101" i="2"/>
  <c r="H100" i="2"/>
  <c r="H99" i="2"/>
  <c r="H95" i="2"/>
  <c r="H94" i="2"/>
  <c r="H93" i="2"/>
  <c r="H92" i="2"/>
  <c r="H91" i="2"/>
  <c r="H90" i="2"/>
  <c r="H89" i="2"/>
  <c r="H88" i="2"/>
  <c r="H87" i="2"/>
  <c r="H86" i="2"/>
  <c r="G85" i="2"/>
  <c r="H85" i="2" s="1"/>
  <c r="G84" i="2"/>
  <c r="H84" i="2" s="1"/>
  <c r="H80" i="2"/>
  <c r="G79" i="2"/>
  <c r="H79" i="2" s="1"/>
  <c r="H78" i="2"/>
  <c r="H77" i="2"/>
  <c r="G76" i="2"/>
  <c r="H76" i="2" s="1"/>
  <c r="G75" i="2"/>
  <c r="H75" i="2" s="1"/>
  <c r="H71" i="2"/>
  <c r="G70" i="2"/>
  <c r="H70" i="2" s="1"/>
  <c r="H69" i="2"/>
  <c r="H68" i="2"/>
  <c r="G67" i="2"/>
  <c r="H67" i="2" s="1"/>
  <c r="G66" i="2"/>
  <c r="H66" i="2" s="1"/>
  <c r="H56" i="2"/>
  <c r="H54" i="2"/>
  <c r="D19" i="2"/>
  <c r="H19" i="2" s="1"/>
  <c r="H20" i="2" s="1"/>
  <c r="E12" i="1" s="1"/>
  <c r="H15" i="2"/>
  <c r="H16" i="2" s="1"/>
  <c r="E11" i="1" s="1"/>
  <c r="H11" i="2"/>
  <c r="H12" i="2" s="1"/>
  <c r="E10" i="1" s="1"/>
  <c r="I73" i="1"/>
  <c r="I72" i="1"/>
  <c r="F72" i="1" s="1"/>
  <c r="I71" i="1"/>
  <c r="F71" i="1" s="1"/>
  <c r="I70" i="1"/>
  <c r="F70" i="1"/>
  <c r="I68" i="1"/>
  <c r="I67" i="1"/>
  <c r="I66" i="1"/>
  <c r="F66" i="1" s="1"/>
  <c r="I65" i="1"/>
  <c r="F65" i="1" s="1"/>
  <c r="I64" i="1"/>
  <c r="F64" i="1" s="1"/>
  <c r="I63" i="1"/>
  <c r="F63" i="1" s="1"/>
  <c r="I62" i="1"/>
  <c r="F62" i="1" s="1"/>
  <c r="I61" i="1"/>
  <c r="I60" i="1"/>
  <c r="I59" i="1"/>
  <c r="I57" i="1"/>
  <c r="F57" i="1" s="1"/>
  <c r="I56" i="1"/>
  <c r="F56" i="1" s="1"/>
  <c r="I55" i="1"/>
  <c r="F55" i="1" s="1"/>
  <c r="I54" i="1"/>
  <c r="F54" i="1" s="1"/>
  <c r="I52" i="1"/>
  <c r="F52" i="1" s="1"/>
  <c r="I51" i="1"/>
  <c r="F51" i="1" s="1"/>
  <c r="I50" i="1"/>
  <c r="F50" i="1" s="1"/>
  <c r="I49" i="1"/>
  <c r="F49" i="1" s="1"/>
  <c r="I48" i="1"/>
  <c r="F48" i="1" s="1"/>
  <c r="I46" i="1"/>
  <c r="I45" i="1"/>
  <c r="I44" i="1"/>
  <c r="I43" i="1"/>
  <c r="F43" i="1" s="1"/>
  <c r="I42" i="1"/>
  <c r="F42" i="1" s="1"/>
  <c r="I40" i="1"/>
  <c r="F40" i="1" s="1"/>
  <c r="I39" i="1"/>
  <c r="I38" i="1"/>
  <c r="I37" i="1"/>
  <c r="I36" i="1"/>
  <c r="F36" i="1" s="1"/>
  <c r="I35" i="1"/>
  <c r="I34" i="1"/>
  <c r="I33" i="1"/>
  <c r="I32" i="1"/>
  <c r="F32" i="1" s="1"/>
  <c r="I31" i="1"/>
  <c r="F31" i="1" s="1"/>
  <c r="I30" i="1"/>
  <c r="F30" i="1" s="1"/>
  <c r="I29" i="1"/>
  <c r="F29" i="1" s="1"/>
  <c r="I28" i="1"/>
  <c r="F28" i="1" s="1"/>
  <c r="I27" i="1"/>
  <c r="F27" i="1" s="1"/>
  <c r="I26" i="1"/>
  <c r="F26" i="1" s="1"/>
  <c r="I25" i="1"/>
  <c r="F25" i="1" s="1"/>
  <c r="I23" i="1"/>
  <c r="I22" i="1"/>
  <c r="I20" i="1"/>
  <c r="F20" i="1" s="1"/>
  <c r="I16" i="1"/>
  <c r="F16" i="1" s="1"/>
  <c r="I15" i="1"/>
  <c r="I14" i="1"/>
  <c r="I13" i="1"/>
  <c r="I12" i="1"/>
  <c r="F12" i="1" s="1"/>
  <c r="I11" i="1"/>
  <c r="F11" i="1" s="1"/>
  <c r="I10" i="1"/>
  <c r="F10" i="1" s="1"/>
  <c r="G64" i="1" l="1"/>
  <c r="H38" i="2"/>
  <c r="E17" i="1" s="1"/>
  <c r="G17" i="1" s="1"/>
  <c r="H255" i="2"/>
  <c r="E63" i="1" s="1"/>
  <c r="G63" i="1" s="1"/>
  <c r="H136" i="2"/>
  <c r="E30" i="1" s="1"/>
  <c r="G30" i="1" s="1"/>
  <c r="G72" i="1"/>
  <c r="H138" i="3"/>
  <c r="H58" i="1" s="1"/>
  <c r="I58" i="1" s="1"/>
  <c r="F58" i="1" s="1"/>
  <c r="G58" i="1" s="1"/>
  <c r="G71" i="1"/>
  <c r="G70" i="1"/>
  <c r="H240" i="2"/>
  <c r="G54" i="1"/>
  <c r="G55" i="1"/>
  <c r="H121" i="2"/>
  <c r="E29" i="1" s="1"/>
  <c r="G29" i="1" s="1"/>
  <c r="G57" i="1"/>
  <c r="G56" i="1"/>
  <c r="G53" i="1"/>
  <c r="G52" i="1"/>
  <c r="G51" i="1"/>
  <c r="G50" i="1"/>
  <c r="G48" i="1"/>
  <c r="G47" i="1"/>
  <c r="G42" i="1"/>
  <c r="G32" i="1"/>
  <c r="G40" i="1"/>
  <c r="G41" i="1"/>
  <c r="H61" i="2"/>
  <c r="H62" i="2" s="1"/>
  <c r="E21" i="1" s="1"/>
  <c r="G21" i="1" s="1"/>
  <c r="H55" i="2"/>
  <c r="H51" i="2"/>
  <c r="E19" i="1" s="1"/>
  <c r="G19" i="1" s="1"/>
  <c r="H57" i="2"/>
  <c r="H45" i="2"/>
  <c r="E18" i="1" s="1"/>
  <c r="G18" i="1" s="1"/>
  <c r="H31" i="2"/>
  <c r="E16" i="1" s="1"/>
  <c r="G16" i="1" s="1"/>
  <c r="H188" i="2"/>
  <c r="E49" i="1" s="1"/>
  <c r="G49" i="1" s="1"/>
  <c r="H142" i="2"/>
  <c r="E31" i="1" s="1"/>
  <c r="G31" i="1" s="1"/>
  <c r="H72" i="2"/>
  <c r="E25" i="1" s="1"/>
  <c r="G25" i="1" s="1"/>
  <c r="H174" i="2"/>
  <c r="E43" i="1" s="1"/>
  <c r="G43" i="1" s="1"/>
  <c r="H81" i="2"/>
  <c r="E26" i="1" s="1"/>
  <c r="G26" i="1" s="1"/>
  <c r="H96" i="2"/>
  <c r="E27" i="1" s="1"/>
  <c r="G27" i="1" s="1"/>
  <c r="G10" i="1"/>
  <c r="G11" i="1"/>
  <c r="C283" i="2"/>
  <c r="H283" i="2" s="1"/>
  <c r="C284" i="2" s="1"/>
  <c r="H284" i="2" s="1"/>
  <c r="H285" i="2" s="1"/>
  <c r="E66" i="1" s="1"/>
  <c r="G66" i="1" s="1"/>
  <c r="G12" i="1"/>
  <c r="H13" i="3"/>
  <c r="H15" i="3" s="1"/>
  <c r="H275" i="2"/>
  <c r="E65" i="1" s="1"/>
  <c r="G65" i="1" s="1"/>
  <c r="H107" i="2"/>
  <c r="E28" i="1" s="1"/>
  <c r="G28" i="1" s="1"/>
  <c r="E62" i="1"/>
  <c r="G62" i="1" s="1"/>
  <c r="H155" i="2"/>
  <c r="E36" i="1" s="1"/>
  <c r="G36" i="1" s="1"/>
  <c r="G37" i="1" s="1"/>
  <c r="D11" i="4" s="1"/>
  <c r="J11" i="4" s="1"/>
  <c r="G11" i="4" s="1"/>
  <c r="G67" i="1" l="1"/>
  <c r="D14" i="4" s="1"/>
  <c r="J14" i="4" s="1"/>
  <c r="H14" i="4" s="1"/>
  <c r="I14" i="4" s="1"/>
  <c r="G73" i="1"/>
  <c r="D15" i="4" s="1"/>
  <c r="J15" i="4" s="1"/>
  <c r="H15" i="4" s="1"/>
  <c r="I15" i="4" s="1"/>
  <c r="G59" i="1"/>
  <c r="G44" i="1"/>
  <c r="D12" i="4" s="1"/>
  <c r="H58" i="2"/>
  <c r="E20" i="1" s="1"/>
  <c r="G20" i="1" s="1"/>
  <c r="G22" i="1" s="1"/>
  <c r="D9" i="4" s="1"/>
  <c r="J9" i="4" s="1"/>
  <c r="E9" i="4" s="1"/>
  <c r="F9" i="4" s="1"/>
  <c r="G33" i="1"/>
  <c r="D10" i="4" s="1"/>
  <c r="G13" i="1"/>
  <c r="D8" i="4" s="1"/>
  <c r="J8" i="4" s="1"/>
  <c r="E8" i="4" s="1"/>
  <c r="I8" i="4" s="1"/>
  <c r="I11" i="4"/>
  <c r="J10" i="4" l="1"/>
  <c r="E10" i="4" s="1"/>
  <c r="E16" i="4" s="1"/>
  <c r="J12" i="4"/>
  <c r="G12" i="4" s="1"/>
  <c r="H12" i="4" s="1"/>
  <c r="G75" i="1"/>
  <c r="D21" i="4" s="1"/>
  <c r="D13" i="4"/>
  <c r="I9" i="4"/>
  <c r="F10" i="4" l="1"/>
  <c r="I10" i="4" s="1"/>
  <c r="I12" i="4"/>
  <c r="G16" i="4"/>
  <c r="J13" i="4"/>
  <c r="H13" i="4" s="1"/>
  <c r="D16" i="4"/>
  <c r="F16" i="4" l="1"/>
  <c r="F17" i="4" s="1"/>
  <c r="G17" i="4"/>
  <c r="E17" i="4"/>
  <c r="I13" i="4"/>
  <c r="H16" i="4"/>
  <c r="D17" i="4"/>
  <c r="H17" i="4" l="1"/>
  <c r="I17" i="4" s="1"/>
  <c r="I16" i="4"/>
</calcChain>
</file>

<file path=xl/sharedStrings.xml><?xml version="1.0" encoding="utf-8"?>
<sst xmlns="http://schemas.openxmlformats.org/spreadsheetml/2006/main" count="1057" uniqueCount="442">
  <si>
    <t>RECURSOS: PRÓPRIOS</t>
  </si>
  <si>
    <t>TABELAS REFERÊNCIA:</t>
  </si>
  <si>
    <t>LOCAL: VÁRZEA ALEGRE - ZONA RURAL - TERRA NOVA/PE</t>
  </si>
  <si>
    <t>SINAPI MARÇO/2024 - NÃO DESONERADA</t>
  </si>
  <si>
    <t>OBJETO: CONSTRUÇÃO DE UMA QUADRA ESPORTIVA DESCOBERTA</t>
  </si>
  <si>
    <t>BDI</t>
  </si>
  <si>
    <t xml:space="preserve">ORÇAMENTO BASE                               </t>
  </si>
  <si>
    <t>ITEM</t>
  </si>
  <si>
    <t>CÓDIGO / FONTE</t>
  </si>
  <si>
    <t>DISCRIMINAÇÃO DOS SERVIÇOS</t>
  </si>
  <si>
    <t>UNIDADE</t>
  </si>
  <si>
    <t>QUANTIDADE</t>
  </si>
  <si>
    <t>PREÇO UNITÁRIO COM BDI</t>
  </si>
  <si>
    <t>PREÇO TOTAL COM BDI</t>
  </si>
  <si>
    <t xml:space="preserve">PREÇO UNITÁRIO </t>
  </si>
  <si>
    <t xml:space="preserve">PREÇO TOTAL </t>
  </si>
  <si>
    <t>1.0</t>
  </si>
  <si>
    <t xml:space="preserve">SERVIÇOS PRELIMINARES </t>
  </si>
  <si>
    <t>1.1</t>
  </si>
  <si>
    <t>103689-SINAPI</t>
  </si>
  <si>
    <t>FORNECIMENTO E INSTALAÇÃO DE PLACA DE OBRA COM CHAPA GALVANIZADA E ESTRUTURA DE MADEIRA. AF_03/2022_PS</t>
  </si>
  <si>
    <t>M2</t>
  </si>
  <si>
    <t>1.2</t>
  </si>
  <si>
    <t>98525-SINAPI</t>
  </si>
  <si>
    <t>LIMPEZA MECANIZADA DE CAMADA VEGETAL, VEGETAÇÃO E PEQUENAS ÁRVORES (DIÂMETRO DE TRONCO MENOR QUE 0,20 M), COM TRATOR DE ESTEIRAS. AF_03/2024</t>
  </si>
  <si>
    <t>1.3</t>
  </si>
  <si>
    <t>99059-SINAPI</t>
  </si>
  <si>
    <t>LOCAÇÃO CONVENCIONAL DE OBRA, UTILIZANDO GABARITO DE TÁBUAS CORRIDAS PONTALETADAS A CADA 2,00M -  2 UTILIZAÇÕES. AF_03/2024</t>
  </si>
  <si>
    <t>M</t>
  </si>
  <si>
    <t>TOTAL 1.0</t>
  </si>
  <si>
    <t>2.0</t>
  </si>
  <si>
    <t>MOVIMENTOS DE TERRA E FUNDAÇÕES</t>
  </si>
  <si>
    <t>2.1</t>
  </si>
  <si>
    <t>93358-SINAPI</t>
  </si>
  <si>
    <t>ESCAVAÇÃO MANUAL DE VALA COM PROFUNDIDADE MENOR OU IGUAL A 1,30 M. AF_02/2021</t>
  </si>
  <si>
    <t>M3</t>
  </si>
  <si>
    <t>2.2</t>
  </si>
  <si>
    <t>103800-SINAPI</t>
  </si>
  <si>
    <t>PEDRA ARGAMASSADA COM CIMENTO E AREIA 1:3, 40% DE ARGAMASSA EM VOLUME - AREIA E PEDRA DE MÃO COMERCIAIS - FORNECIMENTO E ASSENTAMENTO. AF_08/2022</t>
  </si>
  <si>
    <t>103326-SINAPI</t>
  </si>
  <si>
    <t>ALVENARIA DE VEDAÇÃO DE BLOCOS CERÂMICOS FURADOS NA VERTICAL DE 19X19X39 CM (ESPESSURA 19 CM) E ARGAMASSA DE ASSENTAMENTO COM PREPARO EM BETONEIRA. AF_12/2021</t>
  </si>
  <si>
    <t>COMPOSIÇÃO</t>
  </si>
  <si>
    <t>CONCRETO ARMADO FCK=20MPA FABRICADO NA OBRA, ADENSADO E LANÇADO, PARA USO GERAL, COM FORMAS PLANAS EM COMPENSADO RESINADO 10MM (05 USOS)</t>
  </si>
  <si>
    <t>2.3</t>
  </si>
  <si>
    <t>ATERRO MANUAL DE VALAS COM SOLO ARGILO-ARENOSO E COMPACTAÇÃO MECANIZADA. (NÃO INCLUSO O FORNECIMENTO E TRANSPORTE DO MATERIAL)</t>
  </si>
  <si>
    <t>TOTAL 2.0</t>
  </si>
  <si>
    <t>3.0</t>
  </si>
  <si>
    <t>INFRAESTRUTURA / SUPERESTRUTURA / ELEVAÇÕES E REVESTIMENTOS</t>
  </si>
  <si>
    <t>3.1</t>
  </si>
  <si>
    <t>3.2</t>
  </si>
  <si>
    <t>95241-SINAPI</t>
  </si>
  <si>
    <t>LASTRO DE CONCRETO MAGRO, APLICADO EM PISOS, LAJES SOBRE SOLO OU RADIERS, ESPESSURA DE 5 CM. AF_01/2024</t>
  </si>
  <si>
    <t>3.3</t>
  </si>
  <si>
    <t>3.4</t>
  </si>
  <si>
    <t>3.5</t>
  </si>
  <si>
    <t>87879-SINAPI</t>
  </si>
  <si>
    <t>CHAPISCO APLICADO EM ALVENARIAS E ESTRUTURAS DE CONCRETO INTERNAS, COM COLHER DE PEDREIRO.  ARGAMASSA TRAÇO 1:3 COM PREPARO EM BETONEIRA 400L. AF_10/2022</t>
  </si>
  <si>
    <t>3.6</t>
  </si>
  <si>
    <t>87529-SINAPI</t>
  </si>
  <si>
    <t>MASSA ÚNICA, EM ARGAMASSA TRAÇO 1:2:8, PREPARO MECÂNICO, APLICADA MANUALMENTE EM PAREDES INTERNAS DE AMBIENTES COM ÁREA ENTRE 5M² E 10M², E = 17,5MM, COM TALISCAS. AF_03/2024</t>
  </si>
  <si>
    <t>3.7</t>
  </si>
  <si>
    <t>94319-SINAPI</t>
  </si>
  <si>
    <t>ATERRO MANUAL DE VALAS COM SOLO ARGILO-ARENOSO. AF_08/2023</t>
  </si>
  <si>
    <t>3.8</t>
  </si>
  <si>
    <t>94990-SINAPI</t>
  </si>
  <si>
    <t>EXECUÇÃO DE PASSEIO (CALÇADA) OU PISO DE CONCRETO COM CONCRETO MOLDADO IN LOCO, FEITO EM OBRA, ACABAMENTO CONVENCIONAL, NÃO ARMADO. AF_08/2022</t>
  </si>
  <si>
    <t>TOTAL 3.0</t>
  </si>
  <si>
    <t>4.0</t>
  </si>
  <si>
    <t>ESQUADRIAS E ALAMBRADOS</t>
  </si>
  <si>
    <t>4.1</t>
  </si>
  <si>
    <t>102363-SINAPI</t>
  </si>
  <si>
    <t>ALAMBRADO PARA QUADRA POLIESPORTIVA, ESTRUTURADO POR TUBOS DE ACO GALVANIZADO, (MONTANTES COM DIAMETRO 2", TRAVESSAS E ESCORAS COM DIÂMETRO 1 ¼), COM TELA DE ARAME GALVANIZADO, FIO 12 BWG E MALHA QUADRADA 5X5CM (EXCETO MURETA). AF_03/2021</t>
  </si>
  <si>
    <t>TOTAL 4.0</t>
  </si>
  <si>
    <t>5.0</t>
  </si>
  <si>
    <t>PISOS ÁREA DE JOGO E EXTERNO</t>
  </si>
  <si>
    <t>5.1</t>
  </si>
  <si>
    <t>97113-SINAPI</t>
  </si>
  <si>
    <t>APLICAÇÃO DE LONA PLÁSTICA PARA EXECUÇÃO DE PAVIMENTOS DE CONCRETO. AF_04/2022</t>
  </si>
  <si>
    <t>5.2</t>
  </si>
  <si>
    <t>ARMACAO EM TELA DE ACO SOLDADA NERVURADA Q-92, ACO CA-60, 4,2MM, MALHA 15X15CM</t>
  </si>
  <si>
    <t>5.3</t>
  </si>
  <si>
    <t>101747-SINAPI</t>
  </si>
  <si>
    <t>PISO EM CONCRETO 20 MPA PREPARO MECÂNICO, ESPESSURA 7CM. AF_09/2020</t>
  </si>
  <si>
    <t>5.4</t>
  </si>
  <si>
    <t>TOTAL 5.0</t>
  </si>
  <si>
    <t>6.0</t>
  </si>
  <si>
    <t>INSTALAÇÕES ELÉTRICAS</t>
  </si>
  <si>
    <t>6.1</t>
  </si>
  <si>
    <t>ENTRADA DE ENERGIA ELÉTRICA, AÉREA, TRIFÁSICA, COM CAIXA DE SOBREPOR, CABO DE 10 MM2 E DISJUNTOR DIN 50A (NÃO INCLUSO O POSTE DE CONCRETO)</t>
  </si>
  <si>
    <t>UND</t>
  </si>
  <si>
    <t>6.2</t>
  </si>
  <si>
    <t>91872-SINAPI</t>
  </si>
  <si>
    <t>ELETRODUTO RÍGIDO ROSCÁVEL, PVC, DN 32 MM (1"), PARA CIRCUITOS TERMINAIS, INSTALADO EM PAREDE - FORNECIMENTO E INSTALAÇÃO. AF_03/2023</t>
  </si>
  <si>
    <t>6.3</t>
  </si>
  <si>
    <t>91928-SINAPI</t>
  </si>
  <si>
    <t>CABO DE COBRE FLEXÍVEL ISOLADO, 4 MM², ANTI-CHAMA 450/750 V, PARA CIRCUITOS TERMINAIS - FORNECIMENTO E INSTALAÇÃO. AF_03/2023</t>
  </si>
  <si>
    <t>6.4</t>
  </si>
  <si>
    <t>97886-SINAPI</t>
  </si>
  <si>
    <t>CAIXA ENTERRADA ELÉTRICA RETANGULAR, EM ALVENARIA COM TIJOLOS CERÂMICOS MACIÇOS, FUNDO COM BRITA, DIMENSÕES INTERNAS: 0,3X0,3X0,3 M. AF_12/2020</t>
  </si>
  <si>
    <t>6.5</t>
  </si>
  <si>
    <t>96985-SINAPI</t>
  </si>
  <si>
    <t>HASTE DE ATERRAMENTO, DIÂMETRO 5/8", COM 3 METROS - FORNECIMENTO E INSTALAÇÃO. AF_08/2023</t>
  </si>
  <si>
    <t>6.6</t>
  </si>
  <si>
    <t>6.7</t>
  </si>
  <si>
    <t>6.8</t>
  </si>
  <si>
    <t>14166-INSUMOS SINAPI</t>
  </si>
  <si>
    <t xml:space="preserve">POSTE CONICO CONTINUO EM ACO GALVANIZADO, RETO, ENGASTADO,  H = 7 M, DIAMETRO INFERIOR = *125* MM </t>
  </si>
  <si>
    <t>6.9</t>
  </si>
  <si>
    <t>41197-INSUMOS SINAPI</t>
  </si>
  <si>
    <t>POSTE DE CONCRETO ARMADO DE SECAO DUPLO T, EXTENSAO DE 9,00 M, RESISTENCIA DE 600 DAN, TIPO B</t>
  </si>
  <si>
    <t>6.10</t>
  </si>
  <si>
    <t>101877-SINAPI</t>
  </si>
  <si>
    <t>QUADRO DE DISTRIBUIÇÃO DE ENERGIA EM PVC, DE EMBUTIR, SEM BARRAMENTO, PARA 3 DISJUNTORES - FORNECIMENTO E INSTALAÇÃO. AF_10/2020</t>
  </si>
  <si>
    <t>6.11</t>
  </si>
  <si>
    <t>101890-SINAPI</t>
  </si>
  <si>
    <t>DISJUNTOR MONOPOLAR TIPO NEMA, CORRENTE NOMINAL DE 10 ATÉ 30A - FORNECIMENTO E INSTALAÇÃO. AF_10/2020</t>
  </si>
  <si>
    <t>6.12</t>
  </si>
  <si>
    <t>REFLETOR DE LED 200 W, FORNECIMENTO E INSTALAÇÃO</t>
  </si>
  <si>
    <t>TOTAL 6.0</t>
  </si>
  <si>
    <t>7.0</t>
  </si>
  <si>
    <t>PINTURAS E ACABAMENTOS</t>
  </si>
  <si>
    <t>7.1</t>
  </si>
  <si>
    <t>88485-SINAPI</t>
  </si>
  <si>
    <t>FUNDO SELADOR ACRÍLICO, APLICAÇÃO MANUAL EM PAREDE, UMA DEMÃO. AF_04/2023</t>
  </si>
  <si>
    <t>7.2</t>
  </si>
  <si>
    <t>88489-SINAPI</t>
  </si>
  <si>
    <t>PINTURA LÁTEX ACRÍLICA PREMIUM, APLICAÇÃO MANUAL EM PAREDES, DUAS DEMÃOS. AF_04/2023</t>
  </si>
  <si>
    <t>7.3</t>
  </si>
  <si>
    <t>102491-SINAPI</t>
  </si>
  <si>
    <t>PINTURA DE PISO COM TINTA ACRÍLICA, APLICAÇÃO MANUAL, 2 DEMÃOS, INCLUSO FUNDO PREPARADOR. AF_05/2021</t>
  </si>
  <si>
    <t>7.4</t>
  </si>
  <si>
    <t>102504-SINAPI</t>
  </si>
  <si>
    <t>PINTURA DE DEMARCAÇÃO DE QUADRA POLIESPORTIVA COM TINTA ACRÍLICA, E = 5 CM, APLICAÇÃO MANUAL. AF_05/2021</t>
  </si>
  <si>
    <t>7.5</t>
  </si>
  <si>
    <t>100744-SINAPI</t>
  </si>
  <si>
    <t>PINTURA COM TINTA ALQUÍDICA DE ACABAMENTO (ESMALTE SINTÉTICO BRILHANTE) APLICADA A ROLO OU PINCEL SOBRE PERFIL METÁLICO EXECUTADO EM FÁBRICA (POR DEMÃO). AF_01/2020</t>
  </si>
  <si>
    <t>TOTAL 7.0</t>
  </si>
  <si>
    <t>8.0</t>
  </si>
  <si>
    <t>EQUIPAMENTOS</t>
  </si>
  <si>
    <t>8.1</t>
  </si>
  <si>
    <t>25398-INSUMOS SINAPI</t>
  </si>
  <si>
    <t>CONJUNTO PARA FUTSAL COM TRAVES OFICIAIS DE 3,00 X 2,00 M EM TUBO DE ACO GALVANIZADO 3" COM REQUADRO EM TUBO DE 1", PINTURA EM PRIMER COM TINTA ESMALTE SINTETICO E REDES DE POLIETILENO FIO 4 MM</t>
  </si>
  <si>
    <t>8.2</t>
  </si>
  <si>
    <t>25399-INSUMOS SINAPI</t>
  </si>
  <si>
    <t>CONJUNTO PARA QUADRA DE  VOLEI COM POSTES EM TUBO DE ACO GALVANIZADO 3", H = *255* CM, PINTURA EM TINTA ESMALTE SINTETICO, REDE DE NYLON COM 2 MM, MALHA 10 X 10 CM E ANTENAS OFICIAIS EM FIBRA DE VIDRO</t>
  </si>
  <si>
    <t>8.3</t>
  </si>
  <si>
    <t>25400-INSUMOS SINAPI</t>
  </si>
  <si>
    <t>PAR DE TABELAS DE BASQUETE EM COMPENSADO NAVAL, OFICIAL, 1800 X 1200 MM, INCLUINDO ARO DE METAL E REDE EM POLIPROPILENO 100% (SEM SUPORTE DE FIXACAO)</t>
  </si>
  <si>
    <t>TOTAL 8.0</t>
  </si>
  <si>
    <t>TOTAL GERAL</t>
  </si>
  <si>
    <t>BDI ADOTADO DE 18,58%</t>
  </si>
  <si>
    <t>FONTE: TABELA DO SINAPI MARÇO/2024 - NÃO DESONERADA</t>
  </si>
  <si>
    <t>PARA ELABORAÇÃO DESTE ORÇAMENTO, FORAM UTILIZADOS OS ENCARGOS SOCIAIS DO SINAPI PERNAMBUCO</t>
  </si>
  <si>
    <t>FOI ADOTADA NESTA PLANILHA A SEM DESONERAÇÃO DA CONTRIBUIÇÃO PREVIDENCIÁRIA , DESTA FORMA SENDO ESCOLHIDA A ALTERNATIVA MAIS ADEQUADA A ADMINISTRAÇÃO PÚBLICA.</t>
  </si>
  <si>
    <t>2.4</t>
  </si>
  <si>
    <t>2.5</t>
  </si>
  <si>
    <t>MEMÓRIA DE CÁLCULO DO ORÇAMENTO BASE</t>
  </si>
  <si>
    <t>Item</t>
  </si>
  <si>
    <t>COMPRIMENTO</t>
  </si>
  <si>
    <t>ALTURA</t>
  </si>
  <si>
    <t>LARGURA</t>
  </si>
  <si>
    <t>REPETIÇÕES</t>
  </si>
  <si>
    <t>TOTAL</t>
  </si>
  <si>
    <t>SERVIÇOS PRELIMINARES</t>
  </si>
  <si>
    <t>DIMENSÕES</t>
  </si>
  <si>
    <t>ÁREA TOTAL</t>
  </si>
  <si>
    <t>PERÍMETRO</t>
  </si>
  <si>
    <t>VOLUME TOTAL</t>
  </si>
  <si>
    <t>ESCAVAÇÕES SAPATAS MURETAS LATERAIS</t>
  </si>
  <si>
    <t>ESCAVAÇÕES SAPATAS MURETAS FRENTE E FUNDOS</t>
  </si>
  <si>
    <t>RADIERS/BALDRAMES LATERAIS</t>
  </si>
  <si>
    <t>RADIERS/BALDRAMES FRENTE E FUNDOS</t>
  </si>
  <si>
    <t>DESCONTOS SAPATAS</t>
  </si>
  <si>
    <t>ARQUIBANCADAS</t>
  </si>
  <si>
    <t>SAPATAS MURETAS LATERAIS</t>
  </si>
  <si>
    <t>SAPATAS MURETAS FRENTE E FUNDOS</t>
  </si>
  <si>
    <t>PESCOÇOS PILARES LATERAIS</t>
  </si>
  <si>
    <t>PESCOÇOS PILARES FRENTE E FUNDOS</t>
  </si>
  <si>
    <t>PILARES MURETAS LATERAIS</t>
  </si>
  <si>
    <t>PILARES MURETAS FRENTE E FUNDOS</t>
  </si>
  <si>
    <t>VIGAS EM "T" INFERIORES ARQUIBANCADAS - BASES INFERIORES</t>
  </si>
  <si>
    <t>VIGAS EM "T" INFERIORES ARQUIBANCADAS - BASES SUPERIORES</t>
  </si>
  <si>
    <t>PILARES ARQUIBANCADAS - BATENTE MENOR</t>
  </si>
  <si>
    <t>PILARES ARQUIBANCADAS - BATENTES MAIORES</t>
  </si>
  <si>
    <t>MURETAS LATERAIS</t>
  </si>
  <si>
    <t>MURETAS FRENTE E FUNDOS</t>
  </si>
  <si>
    <t>DESCONTOS PILARES</t>
  </si>
  <si>
    <t>DESCONTOS PORTÕES LATERAIS</t>
  </si>
  <si>
    <t>BASES MENORES ARQUIBANCADAS</t>
  </si>
  <si>
    <t>BASES MAIORES ARQUIBANCADAS</t>
  </si>
  <si>
    <t>FECHAMENTOS LATERAIS ARQUIBANCADAS</t>
  </si>
  <si>
    <t>DESCONTOS PORTÕES DE ACESSOS</t>
  </si>
  <si>
    <t>ARQUIBANCADAS - ESPELHOS</t>
  </si>
  <si>
    <t>ACABAMENTOS SUPERIORES DAS MURETAS</t>
  </si>
  <si>
    <t>ÁREA DE JOGO</t>
  </si>
  <si>
    <t>ALAMBRADOS LATERAIS</t>
  </si>
  <si>
    <t>REFORÇOS LATERAIS</t>
  </si>
  <si>
    <t>ALAMBRADOS FRENTE E FUNDOS</t>
  </si>
  <si>
    <t>COMPLEMENTOS PORTÕES LATERAIS</t>
  </si>
  <si>
    <t>ÁREA DE PISO TOTAL</t>
  </si>
  <si>
    <t>PASSEIOS LATERAIS</t>
  </si>
  <si>
    <t>PASSEIOS FRENTE E FUNDOS</t>
  </si>
  <si>
    <t>DESCONTOS ARQUIBANCADAS</t>
  </si>
  <si>
    <t>ENTRADA PRINCIPAL</t>
  </si>
  <si>
    <t>LIGAÇÕES ENTRE POSTES DE ILUMINAÇÃO E ENTRADA PRINCIPAL</t>
  </si>
  <si>
    <t>SUBIDAS POSTES DE ILUMINAÇÃO</t>
  </si>
  <si>
    <t>CAIXA PARA CADA POSTE DE ILUMINAÇÃO</t>
  </si>
  <si>
    <t>ATERRAMENTO PARA CADA POSTE DE ILUMINAÇÃO</t>
  </si>
  <si>
    <t>ESCAVAÇÕES BASES POSTES DE ILUMINAÇÃO</t>
  </si>
  <si>
    <t>BASES DE FIXAÇÃO DOS POSTES DE ILUMINAÇÃO</t>
  </si>
  <si>
    <t>POSTES DE ILUMINAÇÃO</t>
  </si>
  <si>
    <t>POSTE ENTRADA PRINCIPAL</t>
  </si>
  <si>
    <t>DISTRIBUIÇÃO GERAL</t>
  </si>
  <si>
    <t>DISTRIBUIÇÃO ILUMINAÇÃO</t>
  </si>
  <si>
    <t>ILUMINAÇÃO DA QUADRA (02 REFLETORES EM CADA POSTE)</t>
  </si>
  <si>
    <t>LINHAS LATERAIS - FUTSAL</t>
  </si>
  <si>
    <t>LINHAS FUNDOS - FUTSAL</t>
  </si>
  <si>
    <t>LINHA CENTRO - FUTSAL</t>
  </si>
  <si>
    <t>ÁREAS FUTSAL</t>
  </si>
  <si>
    <t>CÍRCULO CENTRAL FUTSAL</t>
  </si>
  <si>
    <t>CIRCULOS CENTRAL E ÁREAS BASQUETE</t>
  </si>
  <si>
    <t>LINHA DENTRO DO CÍRCULO BASQUETE</t>
  </si>
  <si>
    <t>LINHAS ÁREAS BASQUETE</t>
  </si>
  <si>
    <t>LINHAS LATERAIS QUADRA DE VÔLEI</t>
  </si>
  <si>
    <t>LINHAS CENTRO E FUNDOS QUADRA DE VÔLEI</t>
  </si>
  <si>
    <t>LINHAS PONTILHADAS</t>
  </si>
  <si>
    <t>LINHAS EXTERNAS</t>
  </si>
  <si>
    <t>LINHAS ESCANTEIOS</t>
  </si>
  <si>
    <t>CONSEIDERAÇÃO DE ÁREA DE PINTURA DE 20%</t>
  </si>
  <si>
    <t>02 DEMÃOS</t>
  </si>
  <si>
    <t>CONJUNTO DE TRAVES DE FUTSAL</t>
  </si>
  <si>
    <t>CONJUNTO PARA QUADRA DE VÒLEI</t>
  </si>
  <si>
    <t>PAR DE TABELAS PARA BASQUETE</t>
  </si>
  <si>
    <t>PREFEITURA MUNICIPAL DE TERRA NOVA</t>
  </si>
  <si>
    <t>COMPOSIÇÕES DE CUSTOS</t>
  </si>
  <si>
    <t>FONTE</t>
  </si>
  <si>
    <t>DISCRIMINAÇÃO</t>
  </si>
  <si>
    <t>CLASS</t>
  </si>
  <si>
    <t>UNID.</t>
  </si>
  <si>
    <t>COEF.</t>
  </si>
  <si>
    <t>PREÇO(R$)</t>
  </si>
  <si>
    <t>PREÇO TOTAL (R$)</t>
  </si>
  <si>
    <t xml:space="preserve">CÓDIGO </t>
  </si>
  <si>
    <t xml:space="preserve">TABELA </t>
  </si>
  <si>
    <t>FORMA PLANA PARA ESTRUTURAS, EM COMPENSADO RESINADO DE 10MM, 05 USOS, INCLUSIVE ESCORAMENTO - REVISADA 07.2015</t>
  </si>
  <si>
    <t>MAT.</t>
  </si>
  <si>
    <t>SINAPI</t>
  </si>
  <si>
    <t>CONCRETO FCK = 20MPA, TRAÇO 1:2,7:3 (EM MASSA SECA DE CIMENTO/ AREIA MÉDIA/ BRITA 1) - PREPARO MECÂNICO COM BE</t>
  </si>
  <si>
    <t>LANÇAMENTO COM USO DE BALDES, ADENSAMENTO E ACABAMENTO DE CONCRETO EM ESTRUTURAS. AF_02/2022</t>
  </si>
  <si>
    <t>ARMACAO ACO CA-50 P/1,0M3 DE CONCRETO</t>
  </si>
  <si>
    <t>UN</t>
  </si>
  <si>
    <t>PREÇO (mão-de-obra):</t>
  </si>
  <si>
    <t>PREÇO (material):</t>
  </si>
  <si>
    <t>PREÇO (equipamento):</t>
  </si>
  <si>
    <t>PREÇO TOTAL (unit.):</t>
  </si>
  <si>
    <t>COEFICIENTES OBTIDOS NA TABELA:</t>
  </si>
  <si>
    <t>CÓDIGO: 06457 - TABELA: ORSE - SET/2019 - Concreto armado fck=15MPa fabricado na obra, adensado e lançado, para Uso Geral, com formas planas em compensado resinado 12mm (05 usos)</t>
  </si>
  <si>
    <t>INSUMOS E COMPOSIÇÕES ADAPTADOS DA TABELA:</t>
  </si>
  <si>
    <t>SINAPI NÃO DESONERADO NA DATA BASE MARÇO/2024</t>
  </si>
  <si>
    <t>FORMA PLANA PARA ESTRUTURAS, EM COMPENSADO RESINADO DE 10MM, 05 USOS, INCLUSIVE ESCORAMENTO - REVISADA 07..2015</t>
  </si>
  <si>
    <t xml:space="preserve">SINAPI
</t>
  </si>
  <si>
    <t>CARPINTEIRO DE FORMAS COM ENCARGOS COMPLEMENTARES</t>
  </si>
  <si>
    <t>M.O.</t>
  </si>
  <si>
    <t>H</t>
  </si>
  <si>
    <t>SERVENTE COM ENCARGOS COMPLEMENTARES</t>
  </si>
  <si>
    <t>6193</t>
  </si>
  <si>
    <t xml:space="preserve">SINAPI INSUMO </t>
  </si>
  <si>
    <t>TABUA MADEIRA 2A QUALIDADE 2,5 X 20,0CM (1 X 8") NAO APARELHADA</t>
  </si>
  <si>
    <t>5069</t>
  </si>
  <si>
    <t>PREGO DE ACO POLIDO COM CABECA 17 X 27 (2 1/2 X 11)</t>
  </si>
  <si>
    <t>KG</t>
  </si>
  <si>
    <t>5068</t>
  </si>
  <si>
    <t>PREGO DE ACO POLIDO COM CABECA 17 X 21 (2 X 11)</t>
  </si>
  <si>
    <t>2692</t>
  </si>
  <si>
    <t>DESMOLDANTE PROTETOR PARA FORMAS DE MADEIRA, DE BASE OLEOSA EMULSIONADA EM AGUA</t>
  </si>
  <si>
    <t>L</t>
  </si>
  <si>
    <t xml:space="preserve">4509 </t>
  </si>
  <si>
    <t>TABUA DE MADEIRA NAO APARELHADA *2,5 X 10 CM (1 X 4 ") PINUS, MISTA OU EQUIVALENTE DA REGIAO</t>
  </si>
  <si>
    <t>43681</t>
  </si>
  <si>
    <t>CHAPA/PAINEL DE MADEIRA COMPENSADA RESINADA (MADEIRITE RESINADO ROSA) PARA FORMA DE CONCRETO, DE 2200 x 1100 MM, E = 8 A 12 MM</t>
  </si>
  <si>
    <t>43130</t>
  </si>
  <si>
    <t>ARAME GALVANIZADO 12 BWG, D = 2,76 MM (0,048 KG/M) OU 14 BWG, D = 2,11 MM (0,026 KG/M)</t>
  </si>
  <si>
    <t xml:space="preserve">4006 </t>
  </si>
  <si>
    <t>MADEIRA SERRADA NAO APARELHADA DE PINUS, MISTA OU EQUIVALENTE DA REGIAO</t>
  </si>
  <si>
    <t>CÓDIGO: 00116 -  TABELA: SINAPI - SET/2019 - Forma Plana para estruturas, em compensado resinado de 12mm, 05 usos, inclusive escoramento - Revisada 07..2015</t>
  </si>
  <si>
    <t>CÓDIGO</t>
  </si>
  <si>
    <t>TABELA</t>
  </si>
  <si>
    <t>92917</t>
  </si>
  <si>
    <t>ARMAÇÃO DE ESTRUTURAS DIVERSAS DE CONCRETO ARMADO, EXCETO VIGAS, PILARES, LAJES E FUNDAÇÕES, UTILIZANDO AÇO CA-50 DE 8,0 MM - MONTAGEM. AF_06/2022</t>
  </si>
  <si>
    <t>92922</t>
  </si>
  <si>
    <t>ARMAÇÃO DE ESTRUTURAS DIVERSAS DE CONCRETO ARMADO, EXCETO VIGAS, PILARES, LAJES E FUNDAÇÕES, UTILIZANDO AÇO CA-50 DE 16,0 MM - MONTAGEM. AF_06/2022</t>
  </si>
  <si>
    <t>CÓDIGO: 73990/1 - SINAPI SET/2019 - ARMACAO ACO CA-50 P/1,0M3 DE CONCRETO</t>
  </si>
  <si>
    <t>COMPOSICAO</t>
  </si>
  <si>
    <t>CAMINHÃO PIPA 10.000 L TRUCADO, PESO BRUTO TOTAL 23.000 KG, CARGA ÚTIL MÁXIMA 15.935 KG, DISTÂNCIA ENTRE EIXOS 4,8 M, POTÊNCIA 230 CV, INCLUSIVE TANQUE DE AÇO PARA TRANSPORTE DE ÁGUA - CHP DIURNO. AF_06/2014</t>
  </si>
  <si>
    <t>EQUIP.</t>
  </si>
  <si>
    <t>CHP</t>
  </si>
  <si>
    <t>CAMINHÃO PIPA 10.000 L TRUCADO, PESO BRUTO TOTAL 23.000 KG, CARGA ÚTIL MÁXIMA 15.935 KG, DISTÂNCIA ENTRE EIXOS 4,8 M, POTÊNCIA 230 CV, INCLUSIVE TANQUE DE AÇO PARA TRANSPORTE DE ÁGUA - CHI DIURNO. AF_06/2014</t>
  </si>
  <si>
    <t>CHI</t>
  </si>
  <si>
    <t>INSUMOS</t>
  </si>
  <si>
    <t>ARGILA, ARGILA VERMELHA OU ARGILA ARENOSA (RETIRADA NA JAZIDA, SEM TRANSPORTE)</t>
  </si>
  <si>
    <t>88316</t>
  </si>
  <si>
    <t>COMPACTADOR DE SOLOS DE PERCUSSÃO (SOQUETE) COM MOTOR A GASOLINA 4 TEMPOS, POTÊNCIA 4 CV - CHP DIURNO. AF_08/2015</t>
  </si>
  <si>
    <t>COMPACTADOR DE SOLOS DE PERCUSSÃO (SOQUETE) COM MOTOR A GASOLINA 4 TEMPOS, POTÊNCIA 4 CV - CHI DIURNO. AF_08/2015</t>
  </si>
  <si>
    <t>COEFICIENTES EXTRAÍDOS DA TABELA:</t>
  </si>
  <si>
    <t>TABLEA: COMPOSIÇÃO RETIRADA DO CÓDIGO 94319 SINAPI - ATERRO MANUAL DE VALAS COM SOLO ARGILO-ARENOSO E COMPACTAÇÃO MECANIZADA. AF_05/2016</t>
  </si>
  <si>
    <t>INSUMOS ADAPTADOS DA TABELA:</t>
  </si>
  <si>
    <t>ARMADOR COM ENCARGOS COMPLEMENTARES</t>
  </si>
  <si>
    <t>ARAME RECOZIDO 16 BWG, D = 1,65 MM (0,016 KG/M) OU 18 BWG, D = 1,25 MM (0,01 KG/M)</t>
  </si>
  <si>
    <t>TELA DE ACO SOLDADA NERVURADA, CA-60, Q-92, (1,48 KG/M2), DIAMETRO DO FIO = 4,2 MM, LARGURA = 2,45 X 60 M DE COMPRIMENTO, ESPACAMENTO DA MALHA = 15 X 15 CM</t>
  </si>
  <si>
    <t>COMPOSIÇÃO ADAPTADA DO ITEM 85662 SINAPI - ARMACAO EM TELA DE ACO SOLDADA NERVURADA Q-92, ACO CA-60, 4,2MM, MALHA 15X15CM  TABELA SINAPI DE FEVEREIRO/2022</t>
  </si>
  <si>
    <t>CURVA 180 GRAUS PARA ELETRODUTO, PVC, ROSCÁVEL, DN 32 MM (1"), PARA CIRCUITOS TERMINAIS, INSTALADA EM PAREDE - FORNECIMENTO E INSTALAÇÃO. AF_03/2023</t>
  </si>
  <si>
    <t>LUVA PARA ELETRODUTO, PVC, ROSCÁVEL, DN 32 MM (1"), PARA CIRCUITOS TERMINAIS, INSTALADA EM PAREDE - FORNECIMENTO E INSTALAÇÃO. AF_03/2023</t>
  </si>
  <si>
    <t>DISJUNTOR TRIPOLAR TIPO DIN, CORRENTE NOMINAL DE 50A - FORNECIMENTO E INSTALAÇÃO. AF_10/2020</t>
  </si>
  <si>
    <t>CABO DE COBRE FLEXÍVEL ISOLADO, 10 MM², ANTI-CHAMA 0,6/1,0 KV, PARA CIRCUITOS TERMINAIS - FORNECIMENTO E INSTALAÇÃO. AF_03/2023</t>
  </si>
  <si>
    <t>CURVA 90 GRAUS PARA ELETRODUTO, PVC, ROSCÁVEL, DN 32 MM (1"), PARA CIRCUITOS TERMINAIS, INSTALADA EM PAREDE - FORNECIMENTO E INSTALAÇÃO. AF_03/2023</t>
  </si>
  <si>
    <t>ASSENTAMENTO DE POSTE DE CONCRETO COM COMPRIMENTO NOMINAL DE 9 M, CARGA NOMINAL MENOR OU IGUAL A 1000 DAN, ENGASTAMENTO SIMPLES COM 1,5 M DE SOLO (NÃO INCLUI FORNECIMENTO). AF_11/2019</t>
  </si>
  <si>
    <t>HASTE DE ATERRAMENTO, DIÂMETRO 3/4", COM 3 METROS - FORNECIMENTO E INSTALAÇÃO. AF_08/2023</t>
  </si>
  <si>
    <t>CORDOALHA DE COBRE NU 50 MM², ENTERRADA, SEM ISOLADOR - FORNECIMENTO E INSTALAÇÃO. AF_12/2017</t>
  </si>
  <si>
    <t>AUXILIAR DE ELETRICISTA COM ENCARGOS COMPLEMENTARES</t>
  </si>
  <si>
    <t>ELETRICISTA COM ENCARGOS COMPLEMENTARES</t>
  </si>
  <si>
    <t>ARMACAO VERTICAL COM HASTE E CONTRA-PINO, EM CHAPA DE ACO GALVANIZADO 3/16", COM 1 ESTRIBO, SEM ISOLADOR</t>
  </si>
  <si>
    <t>ARRUELA LISA, REDONDA, DE LATAO POLIDO, DIAMETRO NOMINAL 5/8", DIAMETRO EXTERNO = 34 MM, DIAMETRO DO FURO = 17 MM, ESPESSURA = *2,5* MM</t>
  </si>
  <si>
    <t>BUCHA DE NYLON SEM ABA S6, COM PARAFUSO DE 4,20 X 40 MM EM ACO ZINCADO COM ROSCA SOBERBA, CABECA CHATA E FENDA PHILLIPS</t>
  </si>
  <si>
    <t>CAIXA DE INSPECAO PARA ATERRAMENTO E PARA RAIOS, EM POLIPROPILENO, DIAMETRO = 300 MM X ALTURA = 400 MM</t>
  </si>
  <si>
    <t>CAIXA PARA MEDIDOR MONOFASICO, EM POLICARBONATO / TERMOPLASTICO, PARA ALOJAR 1 DISJUNTOR (PADRAO DA CONCESSIONARIA LOCAL)</t>
  </si>
  <si>
    <t>CONECTOR METALICO TIPO PARAFUSO FENDIDO (SPLIT BOLT), PARA CABOS ATE 95 MM2</t>
  </si>
  <si>
    <t>FITA METALICA PERFURADA, L = *18* MM, ROLO DE 30 M, CARGA RECOMENDADA = *30* KGF</t>
  </si>
  <si>
    <t>ISOLADOR DE PORCELANA, TIPO ROLDANA, DIMENSOES DE *72* X *72* MM, PARA USO EM BAIXA TENSAO</t>
  </si>
  <si>
    <t>PARAFUSO DE FERRO POLIDO, SEXTAVADO, COM ROSCA PARCIAL, DIAMETRO 5/8", COMPRIMENTO 6", COM PORCA E ARRUELA DE PRESSAO MEDIA</t>
  </si>
  <si>
    <t>PORCA ZINCADA, SEXTAVADA, DIAMETRO 1/4"</t>
  </si>
  <si>
    <t>VERGALHAO ZINCADO ROSCA TOTAL, 1/4 " (6,3 MM)</t>
  </si>
  <si>
    <t>COMPOSIÇÃO ADAPTADA DO ITEM 101505 SINAPI: ENTRADA DE ENERGIA ELÉTRICA, AÉREA, TRIFÁSICA, COM CAIXA DE SOBREPOR, CABO DE 10 MM2 E DISJUNTOR DIN 50A (NÃO INCLUSO O POSTE DE CONCRETO). AF_07/2020_P</t>
  </si>
  <si>
    <t>LAMPADA VAPOR MERCURIO 250 W (BASE E40)</t>
  </si>
  <si>
    <t>REATOR INTERNO/INTEGRADO PARA LAMPADA VAPOR METALICO 400 W, ALTO FATOR DE POTENCIA</t>
  </si>
  <si>
    <t>COTAÇÃO</t>
  </si>
  <si>
    <t>REFLETOR DE LED 200 W</t>
  </si>
  <si>
    <t>COMPOSIÇÃO ADAPTADA DO ITEM 97601 SINAPI - REFLETOR EM ALUMÍNIO, DE SUPORTE E ALÇA, COM LÂMPADA VAPOR DE MERCÚRIO DE 250 W, COM REATOR ALTO FATOR DE POTÊNCIA - FORNECIMENTO E INSTALAÇÃO. AF_02/2020</t>
  </si>
  <si>
    <r>
      <rPr>
        <b/>
        <sz val="10"/>
        <color indexed="8"/>
        <rFont val="Arial Narrow"/>
        <family val="2"/>
      </rPr>
      <t>RECURSOS:</t>
    </r>
    <r>
      <rPr>
        <sz val="10"/>
        <color indexed="8"/>
        <rFont val="Arial Narrow"/>
        <family val="2"/>
      </rPr>
      <t xml:space="preserve"> PROPRIOS</t>
    </r>
  </si>
  <si>
    <t>CRONOGRAMA FÍSICO FINANCEIRO</t>
  </si>
  <si>
    <t>30 DIAS</t>
  </si>
  <si>
    <t>60 DIAS</t>
  </si>
  <si>
    <t>90 DIAS</t>
  </si>
  <si>
    <t>120 DIAS</t>
  </si>
  <si>
    <t>TOTAL %</t>
  </si>
  <si>
    <t>Instruções para Preenchimento( NÃO IMPRIMIR ESTA PARTE):</t>
  </si>
  <si>
    <t xml:space="preserve">COMPOSIÇÃO DE BDI </t>
  </si>
  <si>
    <t>Preencher os campos em amarelo</t>
  </si>
  <si>
    <t>COD</t>
  </si>
  <si>
    <t>DESCRIÇÃO</t>
  </si>
  <si>
    <t>%</t>
  </si>
  <si>
    <t>Não ultrapassar a faixa de limites abaixo, caso tenha duvida sobre o tipo da obra, realizar consulta no ACORDÃO 2622/2013-TCU ou pedir orientações pra alguem da GIDUR.</t>
  </si>
  <si>
    <t>Despesas Indiretas</t>
  </si>
  <si>
    <t>AC</t>
  </si>
  <si>
    <t>Administração central</t>
  </si>
  <si>
    <r>
      <t xml:space="preserve"> </t>
    </r>
    <r>
      <rPr>
        <sz val="11"/>
        <color indexed="8"/>
        <rFont val="Arial"/>
        <family val="2"/>
      </rPr>
      <t>Para o tipo de obra “Construção de Edifícios”:</t>
    </r>
  </si>
  <si>
    <t>Para o tipo de obra “Construção de Redes de Abastecimento de Água, Coleta de Esgoto e Construções Correlatas”:</t>
  </si>
  <si>
    <t>DF</t>
  </si>
  <si>
    <t>Despesas financeiras</t>
  </si>
  <si>
    <t>PARCELA DO BDI</t>
  </si>
  <si>
    <t>1 Quartil</t>
  </si>
  <si>
    <t>Médio</t>
  </si>
  <si>
    <t>3 Quartil</t>
  </si>
  <si>
    <t>R</t>
  </si>
  <si>
    <t>Riscos</t>
  </si>
  <si>
    <t>Administração Central</t>
  </si>
  <si>
    <t>Seguro e Garantia</t>
  </si>
  <si>
    <t>Risco</t>
  </si>
  <si>
    <t>Benefício</t>
  </si>
  <si>
    <t>Despesas Financeiras</t>
  </si>
  <si>
    <t>S + G</t>
  </si>
  <si>
    <t>Garantia/seguros</t>
  </si>
  <si>
    <t>Lucro</t>
  </si>
  <si>
    <t>PIS, COFINS e ISSQN</t>
  </si>
  <si>
    <t>Conforme legislação específica</t>
  </si>
  <si>
    <r>
      <t xml:space="preserve"> </t>
    </r>
    <r>
      <rPr>
        <sz val="11"/>
        <color indexed="8"/>
        <rFont val="Arial"/>
        <family val="2"/>
      </rPr>
      <t>Para o tipo de obra “Construção de Rodovias e Ferrovias”:</t>
    </r>
  </si>
  <si>
    <t>Para “Fornecimento de Materiais e Equipamentos”:</t>
  </si>
  <si>
    <t>I</t>
  </si>
  <si>
    <t>Impostos</t>
  </si>
  <si>
    <t>PIS</t>
  </si>
  <si>
    <t>COFINS</t>
  </si>
  <si>
    <t>ISS</t>
  </si>
  <si>
    <t xml:space="preserve">CPRB ( 4,5%, Apenas quando tiver desoneração INSS) </t>
  </si>
  <si>
    <t>TOTAL DOS IMPOSTOS</t>
  </si>
  <si>
    <t xml:space="preserve">BDI = </t>
  </si>
  <si>
    <t>O valor final do BDI não pode ultrapassar os limites abaixo, quando não tiver desoneração do INSS na folha de pagamento, pois foram calculados sem desoneração:</t>
  </si>
  <si>
    <t>VALORES DE BDI POR TIPO DE OBRA</t>
  </si>
  <si>
    <t>TIPO DE OBRA</t>
  </si>
  <si>
    <t>Construção de Edifícios</t>
  </si>
  <si>
    <t>Construção de Rodovias e Ferrovias</t>
  </si>
  <si>
    <t>Construção de Redes de Abastecimento de Água, Coleta de Esgoto e Construções Correlatas</t>
  </si>
  <si>
    <t>Construção e Manutenção de Estações e Redes de Distribuição de Energia Elétrica</t>
  </si>
  <si>
    <t>Obras Portuárias, Marítimas e Fluviais</t>
  </si>
  <si>
    <t>Fornecimento de Materiais e Equipamentos</t>
  </si>
  <si>
    <t>MAPA DE COTAÇÕES</t>
  </si>
  <si>
    <t>OBJETO DA COTAÇÃO</t>
  </si>
  <si>
    <t>Nome da Empresa</t>
  </si>
  <si>
    <t>CNPJ</t>
  </si>
  <si>
    <t>Nome  do Contato</t>
  </si>
  <si>
    <t>telefone</t>
  </si>
  <si>
    <t>e-mail</t>
  </si>
  <si>
    <t>Data da Cotação</t>
  </si>
  <si>
    <t>valor da cotação</t>
  </si>
  <si>
    <t>REFLETOR 200 W LED</t>
  </si>
  <si>
    <t>MAGAZINE DAS CIDADES</t>
  </si>
  <si>
    <t>25.003.525/0001-01</t>
  </si>
  <si>
    <t>NIEDSON SOUZA</t>
  </si>
  <si>
    <t>81 - 3095-0741</t>
  </si>
  <si>
    <t>nsousanick@hotmail.com</t>
  </si>
  <si>
    <t>POSTE MAX</t>
  </si>
  <si>
    <t>10.088.843/0001-57</t>
  </si>
  <si>
    <t>DANTE</t>
  </si>
  <si>
    <t>81-3465.2348</t>
  </si>
  <si>
    <t xml:space="preserve">  dante@lebrepresenta.com.br</t>
  </si>
  <si>
    <t>PERNAMBUCO LED</t>
  </si>
  <si>
    <t>26.100.973/0001-96</t>
  </si>
  <si>
    <t>JONATHAN</t>
  </si>
  <si>
    <t>81-3339-1839</t>
  </si>
  <si>
    <t>contato@pernambucoled.com.br</t>
  </si>
  <si>
    <t>*No mínimo deverão ser apresentadas três empresas consultadas</t>
  </si>
  <si>
    <t>*É necessário declarar que as todas as exigências das Especificações Técnicas listadas no SICONV  foram atendidadas pelas empresas consultadas.</t>
  </si>
  <si>
    <t>ESCAVAÇÕES LADO 01 (0,00 À -0,30M)</t>
  </si>
  <si>
    <t>CONTENÇÕES EM ALVENARIAS DE TIJOLOS CERÂMICOS</t>
  </si>
  <si>
    <t>ESCAVAÇÕES LADO 04 (0,00 À -0,60M)</t>
  </si>
  <si>
    <t>CONTENÇÕES EM ALVENARIAS DE PEDRA ARGAMASSADA</t>
  </si>
  <si>
    <t>ESCAVAÇÕES LADO 02 (-0,30 À -1,50M)</t>
  </si>
  <si>
    <t>ESCAVAÇÕES LADO 03 (-0,60 À -1,50M)</t>
  </si>
  <si>
    <t>CONTENÇÕES LADO 01</t>
  </si>
  <si>
    <t>CONTENÇÕES LADO 04</t>
  </si>
  <si>
    <t>DESCONTO PILARES</t>
  </si>
  <si>
    <t>COMPLEMENTOS SAPATAS</t>
  </si>
  <si>
    <t>SAPATAS</t>
  </si>
  <si>
    <t>PILARES</t>
  </si>
  <si>
    <t>BASES MUROS DE CONTENÇÕES LADO 02 (-0,30 À -1,50M)</t>
  </si>
  <si>
    <t>ELEVAÇÕES MUROS DE CONTENÇÕES LADO 02 (-0,30 À -1,50M)</t>
  </si>
  <si>
    <t>BASES MUROS DE CONTENÇÕES LADO 03 (-0,60 À -1,50M)</t>
  </si>
  <si>
    <t>ELEVAÇÕES MUROS DE CONTENÇÕES LADO 03 (-0,60 À -1,50M)</t>
  </si>
  <si>
    <t>BASE EXTERNA EM ALVENARIA DE TIJOLOS CERÂMICOS</t>
  </si>
  <si>
    <t>BASE EXTERNA EM ALVENARIA DE PEDRA ARGAMASSADA</t>
  </si>
  <si>
    <t/>
  </si>
  <si>
    <t>Menor Preço</t>
  </si>
  <si>
    <t>DATA: MAIO/2024</t>
  </si>
  <si>
    <t>2.6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</si>
</sst>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0.0000"/>
    <numFmt numFmtId="165" formatCode="0.0"/>
    <numFmt numFmtId="166" formatCode="_(* #,##0.00_);_(* \(#,##0.00\);_(* \-??_);_(@_)"/>
    <numFmt numFmtId="167" formatCode="#,##0.00;[Red]#,##0.00"/>
    <numFmt numFmtId="168" formatCode="#,##0.0000"/>
    <numFmt numFmtId="169" formatCode="#,##0.00000"/>
    <numFmt numFmtId="170" formatCode="0.0000000"/>
    <numFmt numFmtId="171" formatCode="0.00000"/>
    <numFmt numFmtId="172" formatCode="0.000000"/>
    <numFmt numFmtId="173" formatCode="_-&quot;R$&quot;* #,##0.00_-;\-&quot;R$&quot;* #,##0.00_-;_-&quot;R$&quot;* &quot;-&quot;??_-;_-@_-"/>
    <numFmt numFmtId="174" formatCode="_(* #,##0.00_);_(* \(#,##0.00\);_(* &quot;-&quot;??_);_(@_)"/>
    <numFmt numFmtId="175" formatCode="_-* #,##0.0000_-;\-* #,##0.0000_-;_-* &quot;-&quot;????_-;_-@_-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2"/>
      <charset val="1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10"/>
      <color theme="1"/>
      <name val="Arial Narrow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0"/>
      <color rgb="FFFF0000"/>
      <name val="Arial Narrow"/>
      <family val="2"/>
    </font>
    <font>
      <sz val="11"/>
      <color indexed="8"/>
      <name val="Arial1"/>
    </font>
    <font>
      <sz val="10"/>
      <color rgb="FF000000"/>
      <name val="Arial Narrow"/>
      <family val="2"/>
    </font>
    <font>
      <b/>
      <u/>
      <sz val="10"/>
      <name val="Arial Narrow"/>
      <family val="2"/>
    </font>
    <font>
      <sz val="10"/>
      <color indexed="8"/>
      <name val="Arial2"/>
    </font>
    <font>
      <sz val="11"/>
      <color theme="1"/>
      <name val="Calibri"/>
      <family val="2"/>
    </font>
    <font>
      <b/>
      <sz val="14"/>
      <name val="Calibri"/>
      <family val="2"/>
    </font>
    <font>
      <b/>
      <sz val="8"/>
      <name val="Arial Narrow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5" fillId="0" borderId="0"/>
    <xf numFmtId="0" fontId="12" fillId="0" borderId="0"/>
    <xf numFmtId="0" fontId="18" fillId="0" borderId="0"/>
    <xf numFmtId="0" fontId="1" fillId="0" borderId="0"/>
    <xf numFmtId="0" fontId="3" fillId="0" borderId="0"/>
    <xf numFmtId="0" fontId="1" fillId="0" borderId="0"/>
    <xf numFmtId="17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27" fillId="0" borderId="0" applyNumberFormat="0" applyFill="0" applyBorder="0" applyAlignment="0" applyProtection="0"/>
    <xf numFmtId="173" fontId="1" fillId="0" borderId="0" applyFont="0" applyFill="0" applyBorder="0" applyAlignment="0" applyProtection="0"/>
  </cellStyleXfs>
  <cellXfs count="410">
    <xf numFmtId="0" fontId="0" fillId="0" borderId="0" xfId="0"/>
    <xf numFmtId="2" fontId="5" fillId="0" borderId="0" xfId="3" applyNumberFormat="1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2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2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64" fontId="4" fillId="0" borderId="0" xfId="0" applyNumberFormat="1" applyFont="1" applyAlignment="1">
      <alignment vertical="center"/>
    </xf>
    <xf numFmtId="0" fontId="5" fillId="0" borderId="13" xfId="3" applyFont="1" applyBorder="1" applyAlignment="1">
      <alignment horizontal="center" vertical="center" wrapText="1"/>
    </xf>
    <xf numFmtId="0" fontId="5" fillId="0" borderId="14" xfId="3" applyFont="1" applyBorder="1" applyAlignment="1">
      <alignment horizontal="center" vertical="center" wrapText="1"/>
    </xf>
    <xf numFmtId="2" fontId="5" fillId="0" borderId="13" xfId="3" applyNumberFormat="1" applyFont="1" applyBorder="1" applyAlignment="1">
      <alignment horizontal="center" vertical="center" wrapText="1"/>
    </xf>
    <xf numFmtId="0" fontId="5" fillId="0" borderId="15" xfId="3" applyFont="1" applyBorder="1" applyAlignment="1">
      <alignment horizontal="center" vertical="center" wrapText="1"/>
    </xf>
    <xf numFmtId="2" fontId="4" fillId="0" borderId="16" xfId="3" applyNumberFormat="1" applyFont="1" applyBorder="1" applyAlignment="1">
      <alignment horizontal="center" vertical="center" wrapText="1"/>
    </xf>
    <xf numFmtId="165" fontId="6" fillId="4" borderId="16" xfId="0" applyNumberFormat="1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justify" vertical="center" wrapText="1"/>
    </xf>
    <xf numFmtId="0" fontId="6" fillId="4" borderId="16" xfId="0" applyFont="1" applyFill="1" applyBorder="1" applyAlignment="1">
      <alignment vertical="center" wrapText="1"/>
    </xf>
    <xf numFmtId="2" fontId="8" fillId="4" borderId="16" xfId="1" applyNumberFormat="1" applyFont="1" applyFill="1" applyBorder="1" applyAlignment="1" applyProtection="1">
      <alignment vertical="center" wrapText="1"/>
    </xf>
    <xf numFmtId="166" fontId="9" fillId="4" borderId="16" xfId="1" applyNumberFormat="1" applyFont="1" applyFill="1" applyBorder="1" applyAlignment="1" applyProtection="1">
      <alignment vertical="center" wrapText="1"/>
    </xf>
    <xf numFmtId="166" fontId="10" fillId="4" borderId="16" xfId="1" applyNumberFormat="1" applyFont="1" applyFill="1" applyBorder="1" applyAlignment="1" applyProtection="1">
      <alignment horizontal="right" vertical="center" wrapText="1"/>
    </xf>
    <xf numFmtId="2" fontId="7" fillId="0" borderId="16" xfId="1" applyNumberFormat="1" applyFont="1" applyFill="1" applyBorder="1" applyAlignment="1" applyProtection="1">
      <alignment vertical="center"/>
    </xf>
    <xf numFmtId="0" fontId="11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2" fontId="11" fillId="0" borderId="16" xfId="4" applyNumberFormat="1" applyFont="1" applyFill="1" applyBorder="1" applyAlignment="1">
      <alignment horizontal="center" vertical="center"/>
    </xf>
    <xf numFmtId="43" fontId="11" fillId="0" borderId="16" xfId="4" applyFont="1" applyFill="1" applyBorder="1" applyAlignment="1">
      <alignment horizontal="center" vertical="center"/>
    </xf>
    <xf numFmtId="2" fontId="4" fillId="0" borderId="16" xfId="3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2" fontId="7" fillId="0" borderId="16" xfId="4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166" fontId="8" fillId="0" borderId="17" xfId="1" applyNumberFormat="1" applyFont="1" applyFill="1" applyBorder="1" applyAlignment="1" applyProtection="1">
      <alignment vertical="center" wrapText="1"/>
    </xf>
    <xf numFmtId="2" fontId="7" fillId="0" borderId="16" xfId="1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 vertical="center"/>
    </xf>
    <xf numFmtId="165" fontId="7" fillId="0" borderId="18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2" fontId="11" fillId="0" borderId="18" xfId="1" applyNumberFormat="1" applyFont="1" applyFill="1" applyBorder="1" applyAlignment="1" applyProtection="1">
      <alignment vertical="center" wrapText="1"/>
    </xf>
    <xf numFmtId="166" fontId="11" fillId="0" borderId="17" xfId="1" applyNumberFormat="1" applyFont="1" applyFill="1" applyBorder="1" applyAlignment="1" applyProtection="1">
      <alignment vertical="center" wrapText="1"/>
    </xf>
    <xf numFmtId="2" fontId="7" fillId="0" borderId="16" xfId="1" applyNumberFormat="1" applyFont="1" applyFill="1" applyBorder="1" applyAlignment="1" applyProtection="1">
      <alignment horizontal="center" vertical="center"/>
    </xf>
    <xf numFmtId="4" fontId="7" fillId="0" borderId="16" xfId="5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7" fillId="0" borderId="16" xfId="1" applyNumberFormat="1" applyFont="1" applyFill="1" applyBorder="1" applyAlignment="1" applyProtection="1">
      <alignment horizontal="center" vertical="center" wrapText="1"/>
    </xf>
    <xf numFmtId="43" fontId="7" fillId="0" borderId="16" xfId="4" applyFont="1" applyFill="1" applyBorder="1" applyAlignment="1">
      <alignment horizontal="center" vertical="center"/>
    </xf>
    <xf numFmtId="0" fontId="6" fillId="0" borderId="17" xfId="6" applyFont="1" applyBorder="1" applyAlignment="1">
      <alignment horizontal="center" vertical="center" wrapText="1"/>
    </xf>
    <xf numFmtId="0" fontId="6" fillId="0" borderId="1" xfId="6" applyFont="1" applyBorder="1" applyAlignment="1">
      <alignment horizontal="center" vertical="center" wrapText="1"/>
    </xf>
    <xf numFmtId="0" fontId="6" fillId="0" borderId="16" xfId="6" applyFont="1" applyBorder="1" applyAlignment="1">
      <alignment horizontal="center" vertical="center" wrapText="1"/>
    </xf>
    <xf numFmtId="4" fontId="6" fillId="0" borderId="16" xfId="5" applyNumberFormat="1" applyFont="1" applyBorder="1" applyAlignment="1">
      <alignment horizontal="center" vertical="center" wrapText="1"/>
    </xf>
    <xf numFmtId="2" fontId="4" fillId="0" borderId="16" xfId="1" applyNumberFormat="1" applyFont="1" applyFill="1" applyBorder="1" applyAlignment="1" applyProtection="1">
      <alignment vertical="center"/>
    </xf>
    <xf numFmtId="167" fontId="4" fillId="0" borderId="17" xfId="0" applyNumberFormat="1" applyFont="1" applyBorder="1" applyAlignment="1">
      <alignment horizontal="right" vertical="center"/>
    </xf>
    <xf numFmtId="4" fontId="5" fillId="0" borderId="17" xfId="1" applyNumberFormat="1" applyFont="1" applyFill="1" applyBorder="1" applyAlignment="1" applyProtection="1">
      <alignment horizontal="right" vertical="center"/>
    </xf>
    <xf numFmtId="2" fontId="11" fillId="0" borderId="16" xfId="1" applyNumberFormat="1" applyFont="1" applyFill="1" applyBorder="1" applyAlignment="1" applyProtection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65" fontId="7" fillId="0" borderId="17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2" fontId="11" fillId="0" borderId="17" xfId="1" applyNumberFormat="1" applyFont="1" applyFill="1" applyBorder="1" applyAlignment="1" applyProtection="1">
      <alignment vertical="center" wrapText="1"/>
    </xf>
    <xf numFmtId="166" fontId="11" fillId="0" borderId="16" xfId="1" applyNumberFormat="1" applyFont="1" applyFill="1" applyBorder="1" applyAlignment="1" applyProtection="1">
      <alignment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 wrapText="1"/>
    </xf>
    <xf numFmtId="165" fontId="7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right" vertical="center" wrapText="1"/>
    </xf>
    <xf numFmtId="2" fontId="11" fillId="0" borderId="16" xfId="1" applyNumberFormat="1" applyFont="1" applyFill="1" applyBorder="1" applyAlignment="1" applyProtection="1">
      <alignment vertical="center" wrapText="1"/>
    </xf>
    <xf numFmtId="2" fontId="7" fillId="0" borderId="0" xfId="0" applyNumberFormat="1" applyFont="1" applyAlignment="1">
      <alignment horizontal="center" vertical="center"/>
    </xf>
    <xf numFmtId="4" fontId="6" fillId="4" borderId="16" xfId="5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 vertical="center"/>
    </xf>
    <xf numFmtId="167" fontId="4" fillId="4" borderId="16" xfId="0" applyNumberFormat="1" applyFont="1" applyFill="1" applyBorder="1" applyAlignment="1">
      <alignment horizontal="right" vertical="center"/>
    </xf>
    <xf numFmtId="0" fontId="7" fillId="5" borderId="0" xfId="0" applyFont="1" applyFill="1" applyAlignment="1">
      <alignment vertical="center"/>
    </xf>
    <xf numFmtId="0" fontId="7" fillId="0" borderId="16" xfId="0" applyFont="1" applyBorder="1" applyAlignment="1">
      <alignment vertical="center" wrapText="1"/>
    </xf>
    <xf numFmtId="2" fontId="4" fillId="0" borderId="16" xfId="0" applyNumberFormat="1" applyFont="1" applyBorder="1" applyAlignment="1">
      <alignment horizontal="center" vertical="center"/>
    </xf>
    <xf numFmtId="167" fontId="4" fillId="0" borderId="16" xfId="0" applyNumberFormat="1" applyFont="1" applyBorder="1" applyAlignment="1">
      <alignment horizontal="right" vertical="center"/>
    </xf>
    <xf numFmtId="166" fontId="6" fillId="0" borderId="16" xfId="1" applyNumberFormat="1" applyFont="1" applyFill="1" applyBorder="1" applyAlignment="1" applyProtection="1">
      <alignment horizontal="right" vertical="center" wrapText="1"/>
    </xf>
    <xf numFmtId="2" fontId="7" fillId="5" borderId="0" xfId="0" applyNumberFormat="1" applyFont="1" applyFill="1" applyAlignment="1">
      <alignment vertical="center"/>
    </xf>
    <xf numFmtId="0" fontId="6" fillId="5" borderId="0" xfId="0" applyFont="1" applyFill="1" applyAlignment="1">
      <alignment horizontal="center" vertical="justify"/>
    </xf>
    <xf numFmtId="0" fontId="4" fillId="7" borderId="0" xfId="0" applyFont="1" applyFill="1" applyAlignment="1">
      <alignment vertical="center"/>
    </xf>
    <xf numFmtId="2" fontId="4" fillId="7" borderId="0" xfId="0" applyNumberFormat="1" applyFont="1" applyFill="1" applyAlignment="1">
      <alignment vertical="center"/>
    </xf>
    <xf numFmtId="2" fontId="4" fillId="2" borderId="0" xfId="0" applyNumberFormat="1" applyFont="1" applyFill="1" applyAlignment="1">
      <alignment vertical="center"/>
    </xf>
    <xf numFmtId="0" fontId="7" fillId="0" borderId="5" xfId="0" applyFont="1" applyBorder="1"/>
    <xf numFmtId="0" fontId="7" fillId="0" borderId="0" xfId="0" applyFont="1"/>
    <xf numFmtId="0" fontId="7" fillId="0" borderId="16" xfId="6" applyFont="1" applyBorder="1" applyAlignment="1">
      <alignment horizontal="center" vertical="center" wrapText="1"/>
    </xf>
    <xf numFmtId="2" fontId="7" fillId="0" borderId="16" xfId="6" applyNumberFormat="1" applyFont="1" applyBorder="1" applyAlignment="1">
      <alignment horizontal="center" vertical="center"/>
    </xf>
    <xf numFmtId="2" fontId="7" fillId="0" borderId="16" xfId="1" applyNumberFormat="1" applyFont="1" applyFill="1" applyBorder="1" applyAlignment="1">
      <alignment horizontal="center" vertical="center" wrapText="1"/>
    </xf>
    <xf numFmtId="2" fontId="7" fillId="0" borderId="10" xfId="1" applyNumberFormat="1" applyFont="1" applyFill="1" applyBorder="1" applyAlignment="1">
      <alignment horizontal="center" vertical="center" wrapText="1"/>
    </xf>
    <xf numFmtId="0" fontId="7" fillId="0" borderId="5" xfId="6" applyFont="1" applyBorder="1" applyAlignment="1">
      <alignment horizontal="center" vertical="center" wrapText="1"/>
    </xf>
    <xf numFmtId="0" fontId="7" fillId="0" borderId="0" xfId="6" applyFont="1" applyAlignment="1">
      <alignment horizontal="center" vertical="center" wrapText="1"/>
    </xf>
    <xf numFmtId="2" fontId="6" fillId="0" borderId="16" xfId="6" applyNumberFormat="1" applyFont="1" applyBorder="1" applyAlignment="1">
      <alignment horizontal="center" vertical="center" wrapText="1"/>
    </xf>
    <xf numFmtId="0" fontId="6" fillId="0" borderId="16" xfId="6" applyFont="1" applyBorder="1" applyAlignment="1">
      <alignment horizontal="left" vertical="center" wrapText="1"/>
    </xf>
    <xf numFmtId="2" fontId="7" fillId="0" borderId="0" xfId="0" applyNumberFormat="1" applyFont="1"/>
    <xf numFmtId="2" fontId="7" fillId="0" borderId="16" xfId="4" applyNumberFormat="1" applyFont="1" applyFill="1" applyBorder="1" applyAlignment="1">
      <alignment horizontal="right" vertical="center"/>
    </xf>
    <xf numFmtId="2" fontId="6" fillId="0" borderId="16" xfId="4" applyNumberFormat="1" applyFont="1" applyFill="1" applyBorder="1" applyAlignment="1">
      <alignment horizontal="center" vertical="center"/>
    </xf>
    <xf numFmtId="2" fontId="7" fillId="0" borderId="16" xfId="0" applyNumberFormat="1" applyFont="1" applyBorder="1" applyAlignment="1">
      <alignment horizontal="right"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165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right" vertical="center" wrapText="1"/>
    </xf>
    <xf numFmtId="2" fontId="14" fillId="0" borderId="16" xfId="4" applyNumberFormat="1" applyFont="1" applyFill="1" applyBorder="1" applyAlignment="1">
      <alignment horizontal="right" vertical="center"/>
    </xf>
    <xf numFmtId="2" fontId="14" fillId="0" borderId="16" xfId="4" applyNumberFormat="1" applyFont="1" applyFill="1" applyBorder="1" applyAlignment="1">
      <alignment horizontal="center" vertical="center"/>
    </xf>
    <xf numFmtId="0" fontId="14" fillId="0" borderId="16" xfId="0" applyFont="1" applyBorder="1" applyAlignment="1">
      <alignment horizontal="right" vertical="center" wrapText="1"/>
    </xf>
    <xf numFmtId="2" fontId="14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 wrapText="1"/>
    </xf>
    <xf numFmtId="0" fontId="14" fillId="0" borderId="16" xfId="0" applyFont="1" applyBorder="1" applyAlignment="1">
      <alignment horizontal="right" wrapText="1"/>
    </xf>
    <xf numFmtId="0" fontId="7" fillId="0" borderId="16" xfId="7" applyFont="1" applyBorder="1" applyAlignment="1">
      <alignment horizontal="right" vertical="top" wrapText="1"/>
    </xf>
    <xf numFmtId="0" fontId="16" fillId="0" borderId="16" xfId="7" applyFont="1" applyBorder="1" applyAlignment="1">
      <alignment horizontal="left" wrapText="1"/>
    </xf>
    <xf numFmtId="2" fontId="16" fillId="0" borderId="16" xfId="7" applyNumberFormat="1" applyFont="1" applyBorder="1" applyAlignment="1">
      <alignment horizontal="center" vertical="top" shrinkToFit="1"/>
    </xf>
    <xf numFmtId="2" fontId="7" fillId="0" borderId="0" xfId="1" applyNumberFormat="1" applyFont="1" applyFill="1" applyAlignment="1">
      <alignment horizontal="center" vertical="center"/>
    </xf>
    <xf numFmtId="0" fontId="17" fillId="0" borderId="0" xfId="8" applyFont="1" applyAlignment="1">
      <alignment horizontal="center" vertical="center"/>
    </xf>
    <xf numFmtId="0" fontId="6" fillId="0" borderId="22" xfId="8" applyFont="1" applyBorder="1" applyAlignment="1">
      <alignment horizontal="center" vertical="center" wrapText="1"/>
    </xf>
    <xf numFmtId="168" fontId="6" fillId="0" borderId="22" xfId="8" applyNumberFormat="1" applyFont="1" applyBorder="1" applyAlignment="1">
      <alignment horizontal="center" vertical="center" wrapText="1"/>
    </xf>
    <xf numFmtId="43" fontId="6" fillId="0" borderId="22" xfId="8" applyNumberFormat="1" applyFont="1" applyBorder="1" applyAlignment="1">
      <alignment horizontal="right" vertical="center" wrapText="1"/>
    </xf>
    <xf numFmtId="43" fontId="6" fillId="0" borderId="23" xfId="8" applyNumberFormat="1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center" wrapText="1"/>
    </xf>
    <xf numFmtId="0" fontId="6" fillId="0" borderId="16" xfId="8" applyFont="1" applyBorder="1" applyAlignment="1">
      <alignment horizontal="center" vertical="center" wrapText="1"/>
    </xf>
    <xf numFmtId="0" fontId="6" fillId="0" borderId="16" xfId="8" applyFont="1" applyBorder="1" applyAlignment="1">
      <alignment horizontal="center" vertical="top" wrapText="1"/>
    </xf>
    <xf numFmtId="168" fontId="6" fillId="0" borderId="16" xfId="8" applyNumberFormat="1" applyFont="1" applyBorder="1" applyAlignment="1">
      <alignment horizontal="center" vertical="center" wrapText="1"/>
    </xf>
    <xf numFmtId="43" fontId="6" fillId="0" borderId="16" xfId="8" applyNumberFormat="1" applyFont="1" applyBorder="1" applyAlignment="1">
      <alignment horizontal="center" vertical="center" wrapText="1"/>
    </xf>
    <xf numFmtId="43" fontId="6" fillId="0" borderId="25" xfId="8" applyNumberFormat="1" applyFont="1" applyBorder="1" applyAlignment="1">
      <alignment horizontal="center" vertical="center" wrapText="1"/>
    </xf>
    <xf numFmtId="0" fontId="7" fillId="0" borderId="16" xfId="9" applyFont="1" applyBorder="1" applyAlignment="1">
      <alignment horizontal="justify" vertical="center" wrapText="1"/>
    </xf>
    <xf numFmtId="0" fontId="7" fillId="0" borderId="16" xfId="8" applyFont="1" applyBorder="1" applyAlignment="1">
      <alignment horizontal="center" vertical="center" wrapText="1"/>
    </xf>
    <xf numFmtId="0" fontId="7" fillId="0" borderId="16" xfId="9" applyFont="1" applyBorder="1" applyAlignment="1">
      <alignment horizontal="center" vertical="center" wrapText="1"/>
    </xf>
    <xf numFmtId="169" fontId="7" fillId="0" borderId="16" xfId="9" applyNumberFormat="1" applyFont="1" applyBorder="1" applyAlignment="1">
      <alignment horizontal="center" vertical="center" wrapText="1"/>
    </xf>
    <xf numFmtId="43" fontId="7" fillId="0" borderId="16" xfId="9" applyNumberFormat="1" applyFont="1" applyBorder="1" applyAlignment="1">
      <alignment horizontal="center" vertical="center" wrapText="1"/>
    </xf>
    <xf numFmtId="43" fontId="7" fillId="0" borderId="25" xfId="9" applyNumberFormat="1" applyFont="1" applyBorder="1" applyAlignment="1">
      <alignment horizontal="center" vertical="center"/>
    </xf>
    <xf numFmtId="0" fontId="7" fillId="0" borderId="24" xfId="8" applyFont="1" applyBorder="1" applyAlignment="1">
      <alignment horizontal="center" vertical="center" wrapText="1"/>
    </xf>
    <xf numFmtId="49" fontId="7" fillId="0" borderId="16" xfId="9" applyNumberFormat="1" applyFont="1" applyBorder="1" applyAlignment="1">
      <alignment horizontal="center" vertical="center" wrapText="1"/>
    </xf>
    <xf numFmtId="43" fontId="7" fillId="0" borderId="25" xfId="8" applyNumberFormat="1" applyFont="1" applyBorder="1" applyAlignment="1">
      <alignment horizontal="right" vertical="top" wrapText="1"/>
    </xf>
    <xf numFmtId="43" fontId="6" fillId="0" borderId="25" xfId="8" applyNumberFormat="1" applyFont="1" applyBorder="1" applyAlignment="1">
      <alignment horizontal="right" vertical="top" wrapText="1"/>
    </xf>
    <xf numFmtId="0" fontId="7" fillId="0" borderId="0" xfId="8" applyFont="1" applyAlignment="1">
      <alignment horizontal="left" wrapText="1"/>
    </xf>
    <xf numFmtId="49" fontId="7" fillId="0" borderId="24" xfId="8" applyNumberFormat="1" applyFont="1" applyBorder="1" applyAlignment="1">
      <alignment horizontal="center" vertical="center" wrapText="1"/>
    </xf>
    <xf numFmtId="0" fontId="6" fillId="0" borderId="24" xfId="8" applyFont="1" applyBorder="1" applyAlignment="1">
      <alignment horizontal="center" vertical="center" wrapText="1"/>
    </xf>
    <xf numFmtId="49" fontId="7" fillId="0" borderId="24" xfId="9" applyNumberFormat="1" applyFont="1" applyBorder="1" applyAlignment="1">
      <alignment horizontal="center" vertical="center" wrapText="1"/>
    </xf>
    <xf numFmtId="0" fontId="4" fillId="0" borderId="0" xfId="8" applyFont="1" applyAlignment="1">
      <alignment horizontal="left" vertical="center" wrapText="1"/>
    </xf>
    <xf numFmtId="43" fontId="6" fillId="0" borderId="23" xfId="8" applyNumberFormat="1" applyFont="1" applyBorder="1" applyAlignment="1">
      <alignment horizontal="center" vertical="center" wrapText="1"/>
    </xf>
    <xf numFmtId="0" fontId="6" fillId="5" borderId="16" xfId="6" applyFont="1" applyFill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 wrapText="1"/>
    </xf>
    <xf numFmtId="170" fontId="7" fillId="0" borderId="16" xfId="0" applyNumberFormat="1" applyFont="1" applyBorder="1" applyAlignment="1">
      <alignment horizontal="center" vertical="center"/>
    </xf>
    <xf numFmtId="43" fontId="7" fillId="6" borderId="25" xfId="9" applyNumberFormat="1" applyFont="1" applyFill="1" applyBorder="1" applyAlignment="1">
      <alignment horizontal="center" vertical="center" wrapText="1"/>
    </xf>
    <xf numFmtId="43" fontId="7" fillId="0" borderId="0" xfId="0" applyNumberFormat="1" applyFont="1" applyAlignment="1">
      <alignment vertical="center"/>
    </xf>
    <xf numFmtId="43" fontId="7" fillId="0" borderId="25" xfId="9" applyNumberFormat="1" applyFont="1" applyBorder="1" applyAlignment="1">
      <alignment horizontal="center" vertical="center" wrapText="1"/>
    </xf>
    <xf numFmtId="43" fontId="7" fillId="0" borderId="25" xfId="8" applyNumberFormat="1" applyFont="1" applyBorder="1" applyAlignment="1">
      <alignment horizontal="right" vertical="center" wrapText="1"/>
    </xf>
    <xf numFmtId="43" fontId="6" fillId="0" borderId="25" xfId="8" applyNumberFormat="1" applyFont="1" applyBorder="1" applyAlignment="1">
      <alignment horizontal="right" vertical="center" wrapText="1"/>
    </xf>
    <xf numFmtId="0" fontId="4" fillId="0" borderId="27" xfId="8" applyFont="1" applyBorder="1" applyAlignment="1">
      <alignment horizontal="right" vertical="center" wrapText="1"/>
    </xf>
    <xf numFmtId="0" fontId="4" fillId="0" borderId="0" xfId="8" applyFont="1" applyAlignment="1">
      <alignment horizontal="right" vertical="center" wrapText="1"/>
    </xf>
    <xf numFmtId="43" fontId="5" fillId="0" borderId="28" xfId="8" applyNumberFormat="1" applyFont="1" applyBorder="1" applyAlignment="1">
      <alignment horizontal="right" vertical="center" wrapText="1"/>
    </xf>
    <xf numFmtId="0" fontId="7" fillId="0" borderId="16" xfId="10" applyFont="1" applyBorder="1" applyAlignment="1">
      <alignment horizontal="center" vertical="center"/>
    </xf>
    <xf numFmtId="0" fontId="7" fillId="0" borderId="16" xfId="10" applyFont="1" applyBorder="1" applyAlignment="1">
      <alignment horizontal="left" vertical="center" wrapText="1"/>
    </xf>
    <xf numFmtId="171" fontId="7" fillId="0" borderId="16" xfId="10" applyNumberFormat="1" applyFont="1" applyBorder="1" applyAlignment="1">
      <alignment horizontal="center" vertical="center"/>
    </xf>
    <xf numFmtId="0" fontId="16" fillId="0" borderId="16" xfId="10" applyFont="1" applyBorder="1" applyAlignment="1">
      <alignment horizontal="center" vertical="center"/>
    </xf>
    <xf numFmtId="0" fontId="11" fillId="0" borderId="16" xfId="10" applyFont="1" applyBorder="1" applyAlignment="1">
      <alignment horizontal="left" vertical="center" wrapText="1"/>
    </xf>
    <xf numFmtId="4" fontId="11" fillId="0" borderId="16" xfId="10" applyNumberFormat="1" applyFont="1" applyBorder="1" applyAlignment="1">
      <alignment horizontal="center" vertical="center"/>
    </xf>
    <xf numFmtId="171" fontId="11" fillId="0" borderId="16" xfId="10" applyNumberFormat="1" applyFont="1" applyBorder="1" applyAlignment="1">
      <alignment horizontal="center" vertical="center"/>
    </xf>
    <xf numFmtId="172" fontId="11" fillId="0" borderId="16" xfId="10" applyNumberFormat="1" applyFont="1" applyBorder="1" applyAlignment="1">
      <alignment horizontal="center" vertical="center"/>
    </xf>
    <xf numFmtId="172" fontId="11" fillId="6" borderId="16" xfId="10" applyNumberFormat="1" applyFont="1" applyFill="1" applyBorder="1" applyAlignment="1">
      <alignment horizontal="center" vertical="center"/>
    </xf>
    <xf numFmtId="43" fontId="7" fillId="6" borderId="16" xfId="9" applyNumberFormat="1" applyFont="1" applyFill="1" applyBorder="1" applyAlignment="1">
      <alignment horizontal="center" vertical="center" wrapText="1"/>
    </xf>
    <xf numFmtId="0" fontId="11" fillId="0" borderId="16" xfId="10" applyFont="1" applyBorder="1" applyAlignment="1">
      <alignment horizontal="left" wrapText="1"/>
    </xf>
    <xf numFmtId="164" fontId="11" fillId="6" borderId="16" xfId="10" applyNumberFormat="1" applyFont="1" applyFill="1" applyBorder="1" applyAlignment="1">
      <alignment horizontal="center" vertical="center"/>
    </xf>
    <xf numFmtId="164" fontId="11" fillId="0" borderId="16" xfId="10" applyNumberFormat="1" applyFont="1" applyBorder="1" applyAlignment="1">
      <alignment horizontal="center" vertical="center"/>
    </xf>
    <xf numFmtId="0" fontId="4" fillId="0" borderId="0" xfId="11" applyFont="1"/>
    <xf numFmtId="0" fontId="5" fillId="0" borderId="0" xfId="11" applyFont="1" applyAlignment="1">
      <alignment horizontal="left" vertical="top" wrapText="1"/>
    </xf>
    <xf numFmtId="0" fontId="5" fillId="0" borderId="0" xfId="11" applyFont="1" applyAlignment="1">
      <alignment horizontal="left"/>
    </xf>
    <xf numFmtId="0" fontId="4" fillId="0" borderId="42" xfId="9" applyFont="1" applyBorder="1"/>
    <xf numFmtId="0" fontId="5" fillId="9" borderId="43" xfId="9" applyFont="1" applyFill="1" applyBorder="1" applyAlignment="1">
      <alignment horizontal="center"/>
    </xf>
    <xf numFmtId="0" fontId="5" fillId="9" borderId="44" xfId="9" applyFont="1" applyFill="1" applyBorder="1" applyAlignment="1">
      <alignment horizontal="center"/>
    </xf>
    <xf numFmtId="0" fontId="5" fillId="9" borderId="22" xfId="9" applyFont="1" applyFill="1" applyBorder="1" applyAlignment="1">
      <alignment horizontal="center"/>
    </xf>
    <xf numFmtId="0" fontId="5" fillId="9" borderId="45" xfId="9" applyFont="1" applyFill="1" applyBorder="1" applyAlignment="1">
      <alignment horizontal="center"/>
    </xf>
    <xf numFmtId="0" fontId="5" fillId="9" borderId="46" xfId="9" applyFont="1" applyFill="1" applyBorder="1" applyAlignment="1">
      <alignment horizontal="center"/>
    </xf>
    <xf numFmtId="0" fontId="5" fillId="9" borderId="47" xfId="9" applyFont="1" applyFill="1" applyBorder="1" applyAlignment="1">
      <alignment horizontal="center"/>
    </xf>
    <xf numFmtId="0" fontId="4" fillId="0" borderId="0" xfId="9" applyFont="1"/>
    <xf numFmtId="0" fontId="4" fillId="0" borderId="27" xfId="9" applyFont="1" applyBorder="1"/>
    <xf numFmtId="0" fontId="6" fillId="0" borderId="10" xfId="6" applyFont="1" applyBorder="1" applyAlignment="1">
      <alignment horizontal="left" vertical="center" wrapText="1"/>
    </xf>
    <xf numFmtId="173" fontId="6" fillId="0" borderId="16" xfId="6" applyNumberFormat="1" applyFont="1" applyBorder="1" applyAlignment="1">
      <alignment horizontal="left" vertical="center" wrapText="1"/>
    </xf>
    <xf numFmtId="166" fontId="7" fillId="0" borderId="19" xfId="1" applyNumberFormat="1" applyFont="1" applyFill="1" applyBorder="1" applyAlignment="1" applyProtection="1">
      <alignment horizontal="right" vertical="center" wrapText="1"/>
    </xf>
    <xf numFmtId="166" fontId="7" fillId="0" borderId="48" xfId="1" applyNumberFormat="1" applyFont="1" applyFill="1" applyBorder="1" applyAlignment="1" applyProtection="1">
      <alignment horizontal="right" vertical="center" wrapText="1"/>
    </xf>
    <xf numFmtId="166" fontId="7" fillId="0" borderId="49" xfId="1" applyNumberFormat="1" applyFont="1" applyFill="1" applyBorder="1" applyAlignment="1" applyProtection="1">
      <alignment horizontal="right" vertical="center" wrapText="1"/>
    </xf>
    <xf numFmtId="43" fontId="7" fillId="0" borderId="0" xfId="1" applyFont="1" applyBorder="1" applyAlignment="1">
      <alignment vertical="center"/>
    </xf>
    <xf numFmtId="43" fontId="4" fillId="0" borderId="0" xfId="9" applyNumberFormat="1" applyFont="1" applyAlignment="1">
      <alignment vertical="center"/>
    </xf>
    <xf numFmtId="166" fontId="7" fillId="0" borderId="50" xfId="1" applyNumberFormat="1" applyFont="1" applyFill="1" applyBorder="1" applyAlignment="1" applyProtection="1">
      <alignment horizontal="right" vertical="center" wrapText="1"/>
    </xf>
    <xf numFmtId="166" fontId="7" fillId="0" borderId="51" xfId="1" applyNumberFormat="1" applyFont="1" applyFill="1" applyBorder="1" applyAlignment="1" applyProtection="1">
      <alignment horizontal="right" vertical="center" wrapText="1"/>
    </xf>
    <xf numFmtId="166" fontId="7" fillId="0" borderId="16" xfId="1" applyNumberFormat="1" applyFont="1" applyFill="1" applyBorder="1" applyAlignment="1" applyProtection="1">
      <alignment horizontal="right" vertical="center" wrapText="1"/>
    </xf>
    <xf numFmtId="0" fontId="6" fillId="0" borderId="10" xfId="3" applyFont="1" applyBorder="1" applyAlignment="1">
      <alignment horizontal="center" vertical="center"/>
    </xf>
    <xf numFmtId="173" fontId="6" fillId="0" borderId="16" xfId="3" applyNumberFormat="1" applyFont="1" applyBorder="1" applyAlignment="1">
      <alignment horizontal="center" vertical="center"/>
    </xf>
    <xf numFmtId="40" fontId="4" fillId="0" borderId="0" xfId="9" applyNumberFormat="1" applyFont="1"/>
    <xf numFmtId="40" fontId="4" fillId="0" borderId="0" xfId="9" applyNumberFormat="1" applyFont="1" applyAlignment="1">
      <alignment horizontal="center"/>
    </xf>
    <xf numFmtId="0" fontId="5" fillId="0" borderId="0" xfId="9" applyFont="1"/>
    <xf numFmtId="0" fontId="4" fillId="0" borderId="29" xfId="9" applyFont="1" applyBorder="1"/>
    <xf numFmtId="0" fontId="6" fillId="9" borderId="53" xfId="3" applyFont="1" applyFill="1" applyBorder="1"/>
    <xf numFmtId="0" fontId="6" fillId="9" borderId="54" xfId="3" applyFont="1" applyFill="1" applyBorder="1" applyAlignment="1">
      <alignment horizontal="center" vertical="center"/>
    </xf>
    <xf numFmtId="10" fontId="6" fillId="9" borderId="53" xfId="2" applyNumberFormat="1" applyFont="1" applyFill="1" applyBorder="1" applyAlignment="1">
      <alignment horizontal="center" vertical="center"/>
    </xf>
    <xf numFmtId="10" fontId="5" fillId="9" borderId="55" xfId="9" applyNumberFormat="1" applyFont="1" applyFill="1" applyBorder="1" applyAlignment="1">
      <alignment vertical="center"/>
    </xf>
    <xf numFmtId="10" fontId="5" fillId="9" borderId="56" xfId="9" applyNumberFormat="1" applyFont="1" applyFill="1" applyBorder="1" applyAlignment="1">
      <alignment vertical="center"/>
    </xf>
    <xf numFmtId="10" fontId="7" fillId="0" borderId="0" xfId="2" applyNumberFormat="1" applyFont="1" applyBorder="1" applyAlignment="1">
      <alignment vertical="center"/>
    </xf>
    <xf numFmtId="0" fontId="5" fillId="5" borderId="0" xfId="9" applyFont="1" applyFill="1" applyAlignment="1">
      <alignment horizontal="center"/>
    </xf>
    <xf numFmtId="0" fontId="6" fillId="5" borderId="0" xfId="0" applyFont="1" applyFill="1" applyAlignment="1">
      <alignment wrapText="1"/>
    </xf>
    <xf numFmtId="2" fontId="4" fillId="5" borderId="0" xfId="9" applyNumberFormat="1" applyFont="1" applyFill="1" applyAlignment="1">
      <alignment horizontal="center"/>
    </xf>
    <xf numFmtId="2" fontId="4" fillId="0" borderId="0" xfId="9" applyNumberFormat="1" applyFont="1" applyAlignment="1">
      <alignment vertical="center"/>
    </xf>
    <xf numFmtId="0" fontId="5" fillId="5" borderId="0" xfId="9" applyFont="1" applyFill="1" applyAlignment="1">
      <alignment vertical="top" wrapText="1"/>
    </xf>
    <xf numFmtId="2" fontId="5" fillId="0" borderId="0" xfId="9" applyNumberFormat="1" applyFont="1"/>
    <xf numFmtId="43" fontId="7" fillId="0" borderId="0" xfId="1" applyFont="1" applyAlignment="1">
      <alignment horizontal="center" vertical="center"/>
    </xf>
    <xf numFmtId="40" fontId="5" fillId="0" borderId="0" xfId="9" applyNumberFormat="1" applyFont="1"/>
    <xf numFmtId="43" fontId="7" fillId="5" borderId="0" xfId="1" applyFont="1" applyFill="1" applyBorder="1" applyAlignment="1">
      <alignment horizontal="center" vertical="center"/>
    </xf>
    <xf numFmtId="0" fontId="5" fillId="0" borderId="0" xfId="9" applyFont="1" applyAlignment="1">
      <alignment horizontal="center"/>
    </xf>
    <xf numFmtId="0" fontId="5" fillId="0" borderId="0" xfId="9" applyFont="1" applyAlignment="1">
      <alignment horizontal="left"/>
    </xf>
    <xf numFmtId="0" fontId="4" fillId="0" borderId="0" xfId="9" applyFont="1" applyAlignment="1">
      <alignment horizontal="center"/>
    </xf>
    <xf numFmtId="43" fontId="7" fillId="0" borderId="0" xfId="1" applyFont="1" applyBorder="1" applyAlignment="1">
      <alignment horizontal="center" vertical="center"/>
    </xf>
    <xf numFmtId="0" fontId="4" fillId="5" borderId="0" xfId="9" applyFont="1" applyFill="1"/>
    <xf numFmtId="0" fontId="5" fillId="5" borderId="0" xfId="9" applyFont="1" applyFill="1"/>
    <xf numFmtId="0" fontId="5" fillId="10" borderId="0" xfId="9" applyFont="1" applyFill="1"/>
    <xf numFmtId="0" fontId="4" fillId="5" borderId="0" xfId="11" applyFont="1" applyFill="1"/>
    <xf numFmtId="0" fontId="4" fillId="5" borderId="0" xfId="11" applyFont="1" applyFill="1" applyAlignment="1">
      <alignment horizontal="center"/>
    </xf>
    <xf numFmtId="0" fontId="4" fillId="5" borderId="0" xfId="11" applyFont="1" applyFill="1" applyAlignment="1">
      <alignment horizontal="left" vertical="top" wrapText="1"/>
    </xf>
    <xf numFmtId="2" fontId="5" fillId="5" borderId="0" xfId="11" applyNumberFormat="1" applyFont="1" applyFill="1" applyAlignment="1">
      <alignment horizontal="center"/>
    </xf>
    <xf numFmtId="2" fontId="4" fillId="0" borderId="0" xfId="11" applyNumberFormat="1" applyFont="1"/>
    <xf numFmtId="2" fontId="5" fillId="0" borderId="0" xfId="11" applyNumberFormat="1" applyFont="1"/>
    <xf numFmtId="0" fontId="5" fillId="0" borderId="0" xfId="11" applyFont="1"/>
    <xf numFmtId="0" fontId="5" fillId="5" borderId="0" xfId="11" applyFont="1" applyFill="1" applyAlignment="1">
      <alignment horizontal="center"/>
    </xf>
    <xf numFmtId="0" fontId="5" fillId="5" borderId="0" xfId="11" applyFont="1" applyFill="1" applyAlignment="1">
      <alignment horizontal="left" vertical="top" wrapText="1"/>
    </xf>
    <xf numFmtId="0" fontId="5" fillId="5" borderId="0" xfId="11" applyFont="1" applyFill="1" applyAlignment="1">
      <alignment horizontal="center" vertical="top"/>
    </xf>
    <xf numFmtId="0" fontId="5" fillId="10" borderId="0" xfId="11" applyFont="1" applyFill="1"/>
    <xf numFmtId="0" fontId="5" fillId="5" borderId="0" xfId="11" applyFont="1" applyFill="1" applyAlignment="1">
      <alignment vertical="top" wrapText="1"/>
    </xf>
    <xf numFmtId="0" fontId="5" fillId="5" borderId="0" xfId="11" applyFont="1" applyFill="1" applyAlignment="1">
      <alignment horizontal="left"/>
    </xf>
    <xf numFmtId="0" fontId="5" fillId="5" borderId="0" xfId="11" applyFont="1" applyFill="1"/>
    <xf numFmtId="0" fontId="1" fillId="11" borderId="0" xfId="12" applyFill="1"/>
    <xf numFmtId="0" fontId="1" fillId="11" borderId="0" xfId="12" applyFill="1" applyAlignment="1">
      <alignment horizontal="center"/>
    </xf>
    <xf numFmtId="0" fontId="12" fillId="11" borderId="0" xfId="6" applyFill="1"/>
    <xf numFmtId="0" fontId="12" fillId="11" borderId="0" xfId="6" applyFill="1" applyAlignment="1">
      <alignment horizontal="center"/>
    </xf>
    <xf numFmtId="49" fontId="21" fillId="11" borderId="57" xfId="12" applyNumberFormat="1" applyFont="1" applyFill="1" applyBorder="1" applyAlignment="1">
      <alignment horizontal="center" vertical="center"/>
    </xf>
    <xf numFmtId="49" fontId="21" fillId="11" borderId="58" xfId="12" applyNumberFormat="1" applyFont="1" applyFill="1" applyBorder="1" applyAlignment="1">
      <alignment horizontal="center" vertical="center"/>
    </xf>
    <xf numFmtId="0" fontId="21" fillId="11" borderId="59" xfId="12" applyFont="1" applyFill="1" applyBorder="1" applyAlignment="1">
      <alignment horizontal="center" vertical="center"/>
    </xf>
    <xf numFmtId="0" fontId="1" fillId="11" borderId="21" xfId="12" applyFill="1" applyBorder="1" applyAlignment="1">
      <alignment horizontal="center"/>
    </xf>
    <xf numFmtId="0" fontId="22" fillId="11" borderId="22" xfId="12" applyFont="1" applyFill="1" applyBorder="1"/>
    <xf numFmtId="0" fontId="1" fillId="11" borderId="23" xfId="12" applyFill="1" applyBorder="1" applyAlignment="1">
      <alignment horizontal="center"/>
    </xf>
    <xf numFmtId="0" fontId="1" fillId="11" borderId="24" xfId="12" applyFill="1" applyBorder="1" applyAlignment="1">
      <alignment horizontal="center"/>
    </xf>
    <xf numFmtId="0" fontId="1" fillId="11" borderId="16" xfId="12" applyFill="1" applyBorder="1"/>
    <xf numFmtId="43" fontId="23" fillId="13" borderId="25" xfId="13" applyNumberFormat="1" applyFont="1" applyFill="1" applyBorder="1" applyAlignment="1">
      <alignment horizontal="center"/>
    </xf>
    <xf numFmtId="0" fontId="24" fillId="0" borderId="0" xfId="12" applyFont="1" applyAlignment="1">
      <alignment horizontal="justify"/>
    </xf>
    <xf numFmtId="0" fontId="1" fillId="0" borderId="0" xfId="12"/>
    <xf numFmtId="0" fontId="26" fillId="0" borderId="60" xfId="12" applyFont="1" applyBorder="1" applyAlignment="1">
      <alignment horizontal="center" vertical="top" wrapText="1"/>
    </xf>
    <xf numFmtId="0" fontId="25" fillId="0" borderId="61" xfId="12" applyFont="1" applyBorder="1" applyAlignment="1">
      <alignment horizontal="center" vertical="top" wrapText="1"/>
    </xf>
    <xf numFmtId="0" fontId="25" fillId="0" borderId="62" xfId="12" applyFont="1" applyBorder="1" applyAlignment="1">
      <alignment vertical="top" wrapText="1"/>
    </xf>
    <xf numFmtId="10" fontId="25" fillId="0" borderId="31" xfId="12" applyNumberFormat="1" applyFont="1" applyBorder="1" applyAlignment="1">
      <alignment horizontal="center" vertical="top" wrapText="1"/>
    </xf>
    <xf numFmtId="0" fontId="1" fillId="11" borderId="63" xfId="12" applyFill="1" applyBorder="1"/>
    <xf numFmtId="0" fontId="1" fillId="11" borderId="53" xfId="12" applyFill="1" applyBorder="1" applyAlignment="1">
      <alignment horizontal="right"/>
    </xf>
    <xf numFmtId="43" fontId="23" fillId="11" borderId="64" xfId="13" applyNumberFormat="1" applyFont="1" applyFill="1" applyBorder="1" applyAlignment="1">
      <alignment horizontal="center"/>
    </xf>
    <xf numFmtId="0" fontId="1" fillId="11" borderId="63" xfId="12" applyFill="1" applyBorder="1" applyAlignment="1">
      <alignment horizontal="center"/>
    </xf>
    <xf numFmtId="0" fontId="1" fillId="11" borderId="21" xfId="12" applyFill="1" applyBorder="1" applyAlignment="1" applyProtection="1">
      <alignment horizontal="center"/>
      <protection locked="0"/>
    </xf>
    <xf numFmtId="0" fontId="1" fillId="11" borderId="22" xfId="12" applyFill="1" applyBorder="1" applyProtection="1">
      <protection locked="0"/>
    </xf>
    <xf numFmtId="43" fontId="1" fillId="11" borderId="23" xfId="12" applyNumberFormat="1" applyFill="1" applyBorder="1" applyAlignment="1" applyProtection="1">
      <alignment horizontal="center"/>
      <protection locked="0"/>
    </xf>
    <xf numFmtId="0" fontId="1" fillId="11" borderId="24" xfId="12" applyFill="1" applyBorder="1" applyAlignment="1" applyProtection="1">
      <alignment horizontal="center"/>
      <protection locked="0"/>
    </xf>
    <xf numFmtId="0" fontId="1" fillId="11" borderId="16" xfId="12" applyFill="1" applyBorder="1" applyProtection="1">
      <protection locked="0"/>
    </xf>
    <xf numFmtId="43" fontId="22" fillId="11" borderId="25" xfId="13" applyNumberFormat="1" applyFont="1" applyFill="1" applyBorder="1" applyAlignment="1" applyProtection="1">
      <alignment horizontal="center"/>
      <protection locked="0"/>
    </xf>
    <xf numFmtId="43" fontId="1" fillId="11" borderId="0" xfId="12" applyNumberFormat="1" applyFill="1"/>
    <xf numFmtId="43" fontId="23" fillId="13" borderId="25" xfId="13" applyNumberFormat="1" applyFont="1" applyFill="1" applyBorder="1" applyAlignment="1" applyProtection="1">
      <alignment horizontal="center"/>
      <protection locked="0"/>
    </xf>
    <xf numFmtId="0" fontId="1" fillId="11" borderId="68" xfId="12" applyFill="1" applyBorder="1" applyAlignment="1" applyProtection="1">
      <alignment horizontal="center"/>
      <protection locked="0"/>
    </xf>
    <xf numFmtId="0" fontId="1" fillId="11" borderId="1" xfId="12" applyFill="1" applyBorder="1" applyProtection="1">
      <protection locked="0"/>
    </xf>
    <xf numFmtId="43" fontId="23" fillId="13" borderId="69" xfId="13" applyNumberFormat="1" applyFont="1" applyFill="1" applyBorder="1" applyAlignment="1" applyProtection="1">
      <alignment horizontal="center"/>
      <protection locked="0"/>
    </xf>
    <xf numFmtId="0" fontId="1" fillId="11" borderId="63" xfId="12" applyFill="1" applyBorder="1" applyAlignment="1" applyProtection="1">
      <alignment horizontal="center"/>
      <protection locked="0"/>
    </xf>
    <xf numFmtId="0" fontId="22" fillId="11" borderId="53" xfId="12" applyFont="1" applyFill="1" applyBorder="1" applyAlignment="1" applyProtection="1">
      <alignment horizontal="right"/>
      <protection locked="0"/>
    </xf>
    <xf numFmtId="43" fontId="22" fillId="11" borderId="64" xfId="12" applyNumberFormat="1" applyFont="1" applyFill="1" applyBorder="1" applyAlignment="1" applyProtection="1">
      <alignment horizontal="center"/>
      <protection locked="0"/>
    </xf>
    <xf numFmtId="0" fontId="1" fillId="11" borderId="5" xfId="12" applyFill="1" applyBorder="1" applyAlignment="1">
      <alignment horizontal="right"/>
    </xf>
    <xf numFmtId="10" fontId="22" fillId="11" borderId="0" xfId="12" applyNumberFormat="1" applyFont="1" applyFill="1" applyAlignment="1">
      <alignment horizontal="center"/>
    </xf>
    <xf numFmtId="0" fontId="22" fillId="11" borderId="70" xfId="12" applyFont="1" applyFill="1" applyBorder="1"/>
    <xf numFmtId="0" fontId="23" fillId="11" borderId="71" xfId="12" applyFont="1" applyFill="1" applyBorder="1"/>
    <xf numFmtId="10" fontId="23" fillId="11" borderId="60" xfId="14" applyNumberFormat="1" applyFont="1" applyFill="1" applyBorder="1"/>
    <xf numFmtId="10" fontId="1" fillId="11" borderId="0" xfId="12" applyNumberFormat="1" applyFill="1"/>
    <xf numFmtId="175" fontId="1" fillId="11" borderId="0" xfId="12" applyNumberFormat="1" applyFill="1"/>
    <xf numFmtId="175" fontId="1" fillId="11" borderId="0" xfId="12" applyNumberFormat="1" applyFill="1" applyAlignment="1">
      <alignment horizontal="center"/>
    </xf>
    <xf numFmtId="0" fontId="26" fillId="0" borderId="62" xfId="12" applyFont="1" applyBorder="1" applyAlignment="1">
      <alignment horizontal="center" vertical="top" wrapText="1"/>
    </xf>
    <xf numFmtId="0" fontId="25" fillId="0" borderId="31" xfId="12" applyFont="1" applyBorder="1" applyAlignment="1">
      <alignment horizontal="center" vertical="top" wrapText="1"/>
    </xf>
    <xf numFmtId="43" fontId="12" fillId="11" borderId="0" xfId="6" applyNumberFormat="1" applyFill="1" applyAlignment="1">
      <alignment horizontal="center"/>
    </xf>
    <xf numFmtId="10" fontId="2" fillId="11" borderId="0" xfId="12" applyNumberFormat="1" applyFont="1" applyFill="1"/>
    <xf numFmtId="0" fontId="1" fillId="0" borderId="0" xfId="15"/>
    <xf numFmtId="0" fontId="2" fillId="9" borderId="16" xfId="15" applyFont="1" applyFill="1" applyBorder="1" applyAlignment="1">
      <alignment horizontal="center" vertical="center"/>
    </xf>
    <xf numFmtId="0" fontId="2" fillId="9" borderId="10" xfId="15" applyFont="1" applyFill="1" applyBorder="1" applyAlignment="1">
      <alignment horizontal="center" vertical="center"/>
    </xf>
    <xf numFmtId="0" fontId="1" fillId="0" borderId="16" xfId="15" applyBorder="1" applyAlignment="1">
      <alignment vertical="justify"/>
    </xf>
    <xf numFmtId="0" fontId="1" fillId="0" borderId="16" xfId="15" applyBorder="1"/>
    <xf numFmtId="0" fontId="29" fillId="0" borderId="16" xfId="16" applyFont="1" applyBorder="1"/>
    <xf numFmtId="14" fontId="1" fillId="0" borderId="16" xfId="15" applyNumberFormat="1" applyBorder="1"/>
    <xf numFmtId="173" fontId="1" fillId="0" borderId="16" xfId="17" applyFont="1" applyBorder="1"/>
    <xf numFmtId="0" fontId="27" fillId="0" borderId="16" xfId="16" applyBorder="1"/>
    <xf numFmtId="173" fontId="1" fillId="5" borderId="16" xfId="17" applyFont="1" applyFill="1" applyBorder="1"/>
    <xf numFmtId="0" fontId="30" fillId="0" borderId="0" xfId="15" applyFont="1"/>
    <xf numFmtId="0" fontId="28" fillId="0" borderId="16" xfId="15" applyFont="1" applyBorder="1" applyAlignment="1">
      <alignment horizontal="center" vertical="justify"/>
    </xf>
    <xf numFmtId="173" fontId="28" fillId="0" borderId="16" xfId="15" applyNumberFormat="1" applyFont="1" applyBorder="1" applyAlignment="1">
      <alignment horizontal="center" vertical="justify"/>
    </xf>
    <xf numFmtId="0" fontId="28" fillId="0" borderId="0" xfId="15" applyFont="1" applyAlignment="1">
      <alignment vertical="justify"/>
    </xf>
    <xf numFmtId="14" fontId="1" fillId="0" borderId="0" xfId="15" applyNumberFormat="1"/>
    <xf numFmtId="166" fontId="6" fillId="4" borderId="16" xfId="1" applyNumberFormat="1" applyFont="1" applyFill="1" applyBorder="1" applyAlignment="1" applyProtection="1">
      <alignment horizontal="right" vertical="center" wrapText="1"/>
    </xf>
    <xf numFmtId="0" fontId="5" fillId="0" borderId="16" xfId="9" applyFont="1" applyBorder="1" applyAlignment="1">
      <alignment horizontal="center" vertical="center"/>
    </xf>
    <xf numFmtId="166" fontId="7" fillId="14" borderId="19" xfId="1" applyNumberFormat="1" applyFont="1" applyFill="1" applyBorder="1" applyAlignment="1" applyProtection="1">
      <alignment horizontal="right" vertical="center" wrapText="1"/>
    </xf>
    <xf numFmtId="166" fontId="7" fillId="14" borderId="48" xfId="1" applyNumberFormat="1" applyFont="1" applyFill="1" applyBorder="1" applyAlignment="1" applyProtection="1">
      <alignment horizontal="right" vertical="center" wrapText="1"/>
    </xf>
    <xf numFmtId="166" fontId="7" fillId="14" borderId="49" xfId="1" applyNumberFormat="1" applyFont="1" applyFill="1" applyBorder="1" applyAlignment="1" applyProtection="1">
      <alignment horizontal="right" vertical="center" wrapText="1"/>
    </xf>
    <xf numFmtId="166" fontId="7" fillId="14" borderId="52" xfId="1" applyNumberFormat="1" applyFont="1" applyFill="1" applyBorder="1" applyAlignment="1" applyProtection="1">
      <alignment horizontal="right" vertical="center" wrapText="1"/>
    </xf>
    <xf numFmtId="166" fontId="7" fillId="14" borderId="25" xfId="1" applyNumberFormat="1" applyFont="1" applyFill="1" applyBorder="1" applyAlignment="1" applyProtection="1">
      <alignment horizontal="right" vertical="center" wrapText="1"/>
    </xf>
    <xf numFmtId="43" fontId="7" fillId="14" borderId="12" xfId="1" applyFont="1" applyFill="1" applyBorder="1" applyAlignment="1">
      <alignment horizontal="center" vertical="center"/>
    </xf>
    <xf numFmtId="43" fontId="7" fillId="14" borderId="38" xfId="1" applyFont="1" applyFill="1" applyBorder="1" applyAlignment="1">
      <alignment horizontal="center" vertical="center"/>
    </xf>
    <xf numFmtId="0" fontId="0" fillId="0" borderId="0" xfId="0" quotePrefix="1"/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0" fontId="6" fillId="0" borderId="7" xfId="0" applyNumberFormat="1" applyFont="1" applyBorder="1" applyAlignment="1">
      <alignment horizontal="center" vertical="center"/>
    </xf>
    <xf numFmtId="0" fontId="6" fillId="5" borderId="0" xfId="0" applyFont="1" applyFill="1" applyAlignment="1">
      <alignment horizontal="center" vertical="justify"/>
    </xf>
    <xf numFmtId="0" fontId="5" fillId="3" borderId="10" xfId="3" applyFont="1" applyFill="1" applyBorder="1" applyAlignment="1">
      <alignment horizontal="center" vertical="center"/>
    </xf>
    <xf numFmtId="0" fontId="5" fillId="3" borderId="11" xfId="3" applyFont="1" applyFill="1" applyBorder="1" applyAlignment="1">
      <alignment horizontal="center" vertical="center"/>
    </xf>
    <xf numFmtId="0" fontId="5" fillId="3" borderId="12" xfId="3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4" fillId="0" borderId="27" xfId="8" applyFont="1" applyBorder="1" applyAlignment="1">
      <alignment horizontal="left" vertical="center" wrapText="1"/>
    </xf>
    <xf numFmtId="0" fontId="4" fillId="0" borderId="0" xfId="8" applyFont="1" applyAlignment="1">
      <alignment horizontal="left" vertical="center" wrapText="1"/>
    </xf>
    <xf numFmtId="0" fontId="4" fillId="0" borderId="28" xfId="8" applyFont="1" applyBorder="1" applyAlignment="1">
      <alignment horizontal="left" vertical="center" wrapText="1"/>
    </xf>
    <xf numFmtId="0" fontId="4" fillId="0" borderId="29" xfId="8" applyFont="1" applyBorder="1" applyAlignment="1">
      <alignment horizontal="left" vertical="center"/>
    </xf>
    <xf numFmtId="0" fontId="4" fillId="0" borderId="30" xfId="8" applyFont="1" applyBorder="1" applyAlignment="1">
      <alignment horizontal="left" vertical="center"/>
    </xf>
    <xf numFmtId="0" fontId="4" fillId="0" borderId="31" xfId="8" applyFont="1" applyBorder="1" applyAlignment="1">
      <alignment horizontal="left" vertical="center"/>
    </xf>
    <xf numFmtId="0" fontId="7" fillId="0" borderId="24" xfId="8" applyFont="1" applyBorder="1" applyAlignment="1">
      <alignment horizontal="right" vertical="center" wrapText="1"/>
    </xf>
    <xf numFmtId="0" fontId="7" fillId="0" borderId="16" xfId="8" applyFont="1" applyBorder="1" applyAlignment="1">
      <alignment horizontal="right" vertical="center" wrapText="1"/>
    </xf>
    <xf numFmtId="0" fontId="6" fillId="0" borderId="24" xfId="8" applyFont="1" applyBorder="1" applyAlignment="1">
      <alignment horizontal="right" vertical="center" wrapText="1"/>
    </xf>
    <xf numFmtId="0" fontId="6" fillId="0" borderId="16" xfId="8" applyFont="1" applyBorder="1" applyAlignment="1">
      <alignment horizontal="right" vertical="center" wrapText="1"/>
    </xf>
    <xf numFmtId="0" fontId="4" fillId="0" borderId="24" xfId="8" applyFont="1" applyBorder="1" applyAlignment="1">
      <alignment horizontal="left" vertical="center" wrapText="1"/>
    </xf>
    <xf numFmtId="0" fontId="4" fillId="0" borderId="16" xfId="8" applyFont="1" applyBorder="1" applyAlignment="1">
      <alignment horizontal="left" vertical="center" wrapText="1"/>
    </xf>
    <xf numFmtId="0" fontId="4" fillId="0" borderId="25" xfId="8" applyFont="1" applyBorder="1" applyAlignment="1">
      <alignment horizontal="left" vertical="center" wrapText="1"/>
    </xf>
    <xf numFmtId="0" fontId="6" fillId="0" borderId="21" xfId="8" applyFont="1" applyBorder="1" applyAlignment="1">
      <alignment horizontal="center" vertical="center" wrapText="1"/>
    </xf>
    <xf numFmtId="0" fontId="6" fillId="0" borderId="22" xfId="8" applyFont="1" applyBorder="1" applyAlignment="1">
      <alignment horizontal="center" vertical="center" wrapText="1"/>
    </xf>
    <xf numFmtId="0" fontId="7" fillId="0" borderId="24" xfId="8" applyFont="1" applyBorder="1" applyAlignment="1">
      <alignment horizontal="right" vertical="top" wrapText="1"/>
    </xf>
    <xf numFmtId="0" fontId="7" fillId="0" borderId="16" xfId="8" applyFont="1" applyBorder="1" applyAlignment="1">
      <alignment horizontal="right" vertical="top" wrapText="1"/>
    </xf>
    <xf numFmtId="0" fontId="6" fillId="0" borderId="24" xfId="8" applyFont="1" applyBorder="1" applyAlignment="1">
      <alignment horizontal="right" vertical="top" wrapText="1"/>
    </xf>
    <xf numFmtId="0" fontId="6" fillId="0" borderId="16" xfId="8" applyFont="1" applyBorder="1" applyAlignment="1">
      <alignment horizontal="right" vertical="top" wrapText="1"/>
    </xf>
    <xf numFmtId="0" fontId="11" fillId="0" borderId="24" xfId="0" applyFont="1" applyBorder="1" applyAlignment="1">
      <alignment horizontal="right" wrapText="1"/>
    </xf>
    <xf numFmtId="0" fontId="11" fillId="0" borderId="16" xfId="0" applyFont="1" applyBorder="1" applyAlignment="1">
      <alignment horizontal="right" wrapText="1"/>
    </xf>
    <xf numFmtId="0" fontId="11" fillId="0" borderId="25" xfId="0" applyFont="1" applyBorder="1" applyAlignment="1">
      <alignment horizontal="right" wrapText="1"/>
    </xf>
    <xf numFmtId="0" fontId="4" fillId="0" borderId="27" xfId="8" applyFont="1" applyBorder="1" applyAlignment="1">
      <alignment horizontal="left" vertical="top" wrapText="1"/>
    </xf>
    <xf numFmtId="0" fontId="4" fillId="0" borderId="0" xfId="8" applyFont="1" applyAlignment="1">
      <alignment horizontal="left" vertical="top" wrapText="1"/>
    </xf>
    <xf numFmtId="0" fontId="4" fillId="0" borderId="28" xfId="8" applyFont="1" applyBorder="1" applyAlignment="1">
      <alignment horizontal="left" vertical="top" wrapText="1"/>
    </xf>
    <xf numFmtId="0" fontId="11" fillId="0" borderId="27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28" xfId="0" applyFont="1" applyBorder="1" applyAlignment="1">
      <alignment horizontal="left" wrapText="1"/>
    </xf>
    <xf numFmtId="0" fontId="7" fillId="0" borderId="27" xfId="8" applyFont="1" applyBorder="1" applyAlignment="1">
      <alignment horizontal="left" wrapText="1"/>
    </xf>
    <xf numFmtId="0" fontId="7" fillId="0" borderId="0" xfId="8" applyFont="1" applyAlignment="1">
      <alignment horizontal="left" wrapText="1"/>
    </xf>
    <xf numFmtId="0" fontId="7" fillId="0" borderId="28" xfId="8" applyFont="1" applyBorder="1" applyAlignment="1">
      <alignment horizontal="left" wrapText="1"/>
    </xf>
    <xf numFmtId="0" fontId="7" fillId="0" borderId="26" xfId="8" applyFont="1" applyBorder="1" applyAlignment="1">
      <alignment horizontal="center" vertical="center" wrapText="1"/>
    </xf>
    <xf numFmtId="0" fontId="7" fillId="0" borderId="12" xfId="8" applyFont="1" applyBorder="1" applyAlignment="1">
      <alignment horizontal="center" vertical="center" wrapText="1"/>
    </xf>
    <xf numFmtId="0" fontId="7" fillId="0" borderId="24" xfId="8" applyFont="1" applyBorder="1" applyAlignment="1">
      <alignment horizontal="right" wrapText="1"/>
    </xf>
    <xf numFmtId="0" fontId="7" fillId="0" borderId="16" xfId="8" applyFont="1" applyBorder="1" applyAlignment="1">
      <alignment horizontal="right" wrapText="1"/>
    </xf>
    <xf numFmtId="0" fontId="7" fillId="0" borderId="25" xfId="8" applyFont="1" applyBorder="1" applyAlignment="1">
      <alignment horizontal="right" wrapText="1"/>
    </xf>
    <xf numFmtId="49" fontId="7" fillId="0" borderId="26" xfId="9" applyNumberFormat="1" applyFont="1" applyBorder="1" applyAlignment="1">
      <alignment horizontal="center" vertical="center" wrapText="1"/>
    </xf>
    <xf numFmtId="49" fontId="7" fillId="0" borderId="12" xfId="9" applyNumberFormat="1" applyFont="1" applyBorder="1" applyAlignment="1">
      <alignment horizontal="center" vertical="center" wrapText="1"/>
    </xf>
    <xf numFmtId="0" fontId="17" fillId="0" borderId="0" xfId="8" applyFont="1" applyAlignment="1">
      <alignment horizontal="center" vertical="center"/>
    </xf>
    <xf numFmtId="0" fontId="6" fillId="0" borderId="0" xfId="8" applyFont="1" applyAlignment="1">
      <alignment horizontal="center" vertical="center"/>
    </xf>
    <xf numFmtId="0" fontId="7" fillId="0" borderId="20" xfId="8" applyFont="1" applyBorder="1" applyAlignment="1">
      <alignment horizontal="center" vertical="center"/>
    </xf>
    <xf numFmtId="0" fontId="7" fillId="0" borderId="6" xfId="8" applyFont="1" applyBorder="1" applyAlignment="1">
      <alignment horizontal="center" vertical="center"/>
    </xf>
    <xf numFmtId="0" fontId="7" fillId="0" borderId="18" xfId="8" applyFont="1" applyBorder="1" applyAlignment="1">
      <alignment horizontal="center" vertical="center"/>
    </xf>
    <xf numFmtId="0" fontId="7" fillId="0" borderId="5" xfId="8" applyFont="1" applyBorder="1" applyAlignment="1">
      <alignment horizontal="center" vertical="center"/>
    </xf>
    <xf numFmtId="0" fontId="5" fillId="5" borderId="32" xfId="11" applyFont="1" applyFill="1" applyBorder="1" applyAlignment="1">
      <alignment horizontal="center"/>
    </xf>
    <xf numFmtId="0" fontId="5" fillId="5" borderId="33" xfId="11" applyFont="1" applyFill="1" applyBorder="1" applyAlignment="1">
      <alignment horizontal="center"/>
    </xf>
    <xf numFmtId="0" fontId="5" fillId="5" borderId="34" xfId="11" applyFont="1" applyFill="1" applyBorder="1" applyAlignment="1">
      <alignment horizontal="center"/>
    </xf>
    <xf numFmtId="0" fontId="5" fillId="0" borderId="32" xfId="11" applyFont="1" applyBorder="1" applyAlignment="1">
      <alignment horizontal="center" vertical="center" wrapText="1"/>
    </xf>
    <xf numFmtId="0" fontId="5" fillId="0" borderId="33" xfId="11" applyFont="1" applyBorder="1" applyAlignment="1">
      <alignment horizontal="center" vertical="center" wrapText="1"/>
    </xf>
    <xf numFmtId="0" fontId="5" fillId="0" borderId="34" xfId="11" applyFont="1" applyBorder="1" applyAlignment="1">
      <alignment horizontal="center" vertical="center" wrapText="1"/>
    </xf>
    <xf numFmtId="0" fontId="4" fillId="0" borderId="35" xfId="11" applyFont="1" applyBorder="1" applyAlignment="1">
      <alignment horizontal="left" vertical="center" wrapText="1"/>
    </xf>
    <xf numFmtId="0" fontId="5" fillId="0" borderId="36" xfId="11" applyFont="1" applyBorder="1" applyAlignment="1">
      <alignment horizontal="left" vertical="center" wrapText="1"/>
    </xf>
    <xf numFmtId="0" fontId="5" fillId="0" borderId="37" xfId="11" applyFont="1" applyBorder="1" applyAlignment="1">
      <alignment horizontal="left" vertical="center" wrapText="1"/>
    </xf>
    <xf numFmtId="0" fontId="5" fillId="8" borderId="26" xfId="11" applyFont="1" applyFill="1" applyBorder="1" applyAlignment="1">
      <alignment horizontal="left" vertical="top" wrapText="1"/>
    </xf>
    <xf numFmtId="0" fontId="5" fillId="8" borderId="11" xfId="11" applyFont="1" applyFill="1" applyBorder="1" applyAlignment="1">
      <alignment horizontal="left" vertical="top" wrapText="1"/>
    </xf>
    <xf numFmtId="0" fontId="5" fillId="8" borderId="38" xfId="11" applyFont="1" applyFill="1" applyBorder="1" applyAlignment="1">
      <alignment horizontal="left" vertical="top" wrapText="1"/>
    </xf>
    <xf numFmtId="0" fontId="5" fillId="8" borderId="39" xfId="11" applyFont="1" applyFill="1" applyBorder="1" applyAlignment="1">
      <alignment horizontal="left" vertical="center"/>
    </xf>
    <xf numFmtId="0" fontId="4" fillId="8" borderId="40" xfId="11" applyFont="1" applyFill="1" applyBorder="1" applyAlignment="1">
      <alignment horizontal="left" vertical="center"/>
    </xf>
    <xf numFmtId="0" fontId="4" fillId="8" borderId="41" xfId="11" applyFont="1" applyFill="1" applyBorder="1" applyAlignment="1">
      <alignment horizontal="left" vertical="center"/>
    </xf>
    <xf numFmtId="0" fontId="4" fillId="8" borderId="15" xfId="11" applyFont="1" applyFill="1" applyBorder="1" applyAlignment="1">
      <alignment horizontal="left" vertical="center"/>
    </xf>
    <xf numFmtId="0" fontId="4" fillId="8" borderId="0" xfId="11" applyFont="1" applyFill="1" applyAlignment="1">
      <alignment horizontal="left" vertical="center"/>
    </xf>
    <xf numFmtId="0" fontId="24" fillId="0" borderId="67" xfId="12" applyFont="1" applyBorder="1" applyAlignment="1">
      <alignment horizontal="justify"/>
    </xf>
    <xf numFmtId="0" fontId="1" fillId="0" borderId="30" xfId="12" applyBorder="1"/>
    <xf numFmtId="0" fontId="25" fillId="0" borderId="65" xfId="12" applyFont="1" applyBorder="1" applyAlignment="1">
      <alignment horizontal="center" vertical="top" wrapText="1"/>
    </xf>
    <xf numFmtId="0" fontId="25" fillId="0" borderId="66" xfId="12" applyFont="1" applyBorder="1" applyAlignment="1">
      <alignment horizontal="center" vertical="top" wrapText="1"/>
    </xf>
    <xf numFmtId="0" fontId="25" fillId="0" borderId="61" xfId="12" applyFont="1" applyBorder="1" applyAlignment="1">
      <alignment horizontal="center" vertical="top" wrapText="1"/>
    </xf>
    <xf numFmtId="0" fontId="25" fillId="0" borderId="67" xfId="12" applyFont="1" applyBorder="1" applyAlignment="1">
      <alignment horizontal="justify"/>
    </xf>
    <xf numFmtId="0" fontId="1" fillId="11" borderId="0" xfId="12" applyFill="1" applyAlignment="1">
      <alignment horizontal="left"/>
    </xf>
    <xf numFmtId="0" fontId="26" fillId="0" borderId="65" xfId="12" applyFont="1" applyBorder="1" applyAlignment="1">
      <alignment horizontal="center" vertical="top" wrapText="1"/>
    </xf>
    <xf numFmtId="0" fontId="26" fillId="0" borderId="66" xfId="12" applyFont="1" applyBorder="1" applyAlignment="1">
      <alignment horizontal="center" vertical="top" wrapText="1"/>
    </xf>
    <xf numFmtId="0" fontId="26" fillId="0" borderId="61" xfId="12" applyFont="1" applyBorder="1" applyAlignment="1">
      <alignment horizontal="center" vertical="top" wrapText="1"/>
    </xf>
    <xf numFmtId="0" fontId="19" fillId="11" borderId="0" xfId="12" applyFont="1" applyFill="1" applyAlignment="1">
      <alignment horizontal="left" wrapText="1"/>
    </xf>
    <xf numFmtId="0" fontId="1" fillId="11" borderId="0" xfId="12" applyFill="1" applyAlignment="1">
      <alignment horizontal="center"/>
    </xf>
    <xf numFmtId="0" fontId="20" fillId="12" borderId="16" xfId="12" applyFont="1" applyFill="1" applyBorder="1" applyAlignment="1">
      <alignment horizontal="center"/>
    </xf>
    <xf numFmtId="0" fontId="25" fillId="0" borderId="30" xfId="12" applyFont="1" applyBorder="1" applyAlignment="1">
      <alignment horizontal="justify"/>
    </xf>
    <xf numFmtId="0" fontId="2" fillId="9" borderId="0" xfId="15" applyFont="1" applyFill="1" applyAlignment="1">
      <alignment horizontal="center"/>
    </xf>
    <xf numFmtId="0" fontId="28" fillId="0" borderId="1" xfId="15" applyFont="1" applyBorder="1" applyAlignment="1">
      <alignment horizontal="center" vertical="center" wrapText="1"/>
    </xf>
    <xf numFmtId="0" fontId="28" fillId="0" borderId="18" xfId="15" applyFont="1" applyBorder="1" applyAlignment="1">
      <alignment horizontal="center" vertical="center" wrapText="1"/>
    </xf>
    <xf numFmtId="0" fontId="28" fillId="0" borderId="17" xfId="15" applyFont="1" applyBorder="1" applyAlignment="1">
      <alignment horizontal="center" vertical="center" wrapText="1"/>
    </xf>
    <xf numFmtId="173" fontId="2" fillId="0" borderId="1" xfId="15" applyNumberFormat="1" applyFont="1" applyBorder="1" applyAlignment="1">
      <alignment horizontal="center" vertical="center"/>
    </xf>
    <xf numFmtId="173" fontId="2" fillId="0" borderId="18" xfId="15" applyNumberFormat="1" applyFont="1" applyBorder="1" applyAlignment="1">
      <alignment horizontal="center" vertical="center"/>
    </xf>
    <xf numFmtId="173" fontId="2" fillId="0" borderId="17" xfId="15" applyNumberFormat="1" applyFont="1" applyBorder="1" applyAlignment="1">
      <alignment horizontal="center" vertical="center"/>
    </xf>
  </cellXfs>
  <cellStyles count="18">
    <cellStyle name="0,0_x000d__x000a_NA_x000d__x000a_" xfId="3" xr:uid="{9E22B507-7D3C-486B-BB65-3F38C77EFFD6}"/>
    <cellStyle name="Hiperlink 2" xfId="16" xr:uid="{9F26BBB1-0924-4B0A-9C68-6816A1A2CFA0}"/>
    <cellStyle name="Moeda 5" xfId="17" xr:uid="{6A020C84-2033-4D7E-9143-9C495C46E929}"/>
    <cellStyle name="Normal" xfId="0" builtinId="0"/>
    <cellStyle name="Normal 10" xfId="8" xr:uid="{ED8790C3-447B-4E7F-9E07-D4FCD515C417}"/>
    <cellStyle name="Normal 12" xfId="15" xr:uid="{8B05FA0F-1365-42E5-8DE2-E9852D61773E}"/>
    <cellStyle name="Normal 2" xfId="11" xr:uid="{658C0732-3137-4227-ACAF-CDE15569F7E3}"/>
    <cellStyle name="Normal 2 2" xfId="6" xr:uid="{BFB58828-DC75-4936-87D8-7E51A4713B42}"/>
    <cellStyle name="Normal 2 3 2 2 6" xfId="9" xr:uid="{643B1A2E-26D2-45C0-8E43-95815D5D4FE4}"/>
    <cellStyle name="Normal 3" xfId="5" xr:uid="{0BD4FC73-29C6-4111-A6EE-4187FC022DA3}"/>
    <cellStyle name="Normal 5" xfId="7" xr:uid="{AFF0E7BE-965D-493B-B872-DC8E86E4080C}"/>
    <cellStyle name="Normal 7" xfId="12" xr:uid="{5F0E0D2B-8A77-4822-901B-5CC241691989}"/>
    <cellStyle name="Normal 9" xfId="10" xr:uid="{2D54570D-D530-422B-81BF-A638CD39199D}"/>
    <cellStyle name="Porcentagem" xfId="2" builtinId="5"/>
    <cellStyle name="Porcentagem 5" xfId="14" xr:uid="{CEA19D7B-3DF4-4779-9220-25B1F59E39A8}"/>
    <cellStyle name="Separador de milhares 4" xfId="4" xr:uid="{C70D4A9B-BE20-4A97-8623-D870E6298DEA}"/>
    <cellStyle name="Vírgula" xfId="1" builtinId="3"/>
    <cellStyle name="Vírgula 5" xfId="13" xr:uid="{C1658A0E-7FDB-47A9-B63B-D92BD52CFB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1427480</xdr:colOff>
      <xdr:row>0</xdr:row>
      <xdr:rowOff>96520</xdr:rowOff>
    </xdr:from>
    <xdr:to>
      <xdr:col>2</xdr:col>
      <xdr:colOff>3957320</xdr:colOff>
      <xdr:row>0</xdr:row>
      <xdr:rowOff>955887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C380FE73-9F54-4D87-AC60-89F6EBB70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6880" y="96520"/>
          <a:ext cx="2529840" cy="859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2842260</xdr:colOff>
      <xdr:row>0</xdr:row>
      <xdr:rowOff>91440</xdr:rowOff>
    </xdr:from>
    <xdr:to>
      <xdr:col>3</xdr:col>
      <xdr:colOff>160020</xdr:colOff>
      <xdr:row>0</xdr:row>
      <xdr:rowOff>1080226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B5D0C86-4BA2-4BF9-B663-8458F2587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8040" y="91440"/>
          <a:ext cx="2491740" cy="988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1539240</xdr:colOff>
      <xdr:row>0</xdr:row>
      <xdr:rowOff>45720</xdr:rowOff>
    </xdr:from>
    <xdr:to>
      <xdr:col>3</xdr:col>
      <xdr:colOff>0</xdr:colOff>
      <xdr:row>0</xdr:row>
      <xdr:rowOff>963935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9661CE7-30F6-4BFA-BEDB-3A736CA88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4660" y="45720"/>
          <a:ext cx="2613660" cy="918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2080260</xdr:colOff>
      <xdr:row>0</xdr:row>
      <xdr:rowOff>7620</xdr:rowOff>
    </xdr:from>
    <xdr:to>
      <xdr:col>4</xdr:col>
      <xdr:colOff>15240</xdr:colOff>
      <xdr:row>0</xdr:row>
      <xdr:rowOff>1024120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C724FB8-89A4-4AD8-B9D5-76A1EC5CA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1280" y="7620"/>
          <a:ext cx="2141220" cy="101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883920</xdr:colOff>
      <xdr:row>30</xdr:row>
      <xdr:rowOff>182880</xdr:rowOff>
    </xdr:from>
    <xdr:to>
      <xdr:col>1</xdr:col>
      <xdr:colOff>3931920</xdr:colOff>
      <xdr:row>32</xdr:row>
      <xdr:rowOff>160020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19E5CA-7F99-4E16-8126-75B8B440F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260" y="6644640"/>
          <a:ext cx="30480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650240</xdr:colOff>
      <xdr:row>0</xdr:row>
      <xdr:rowOff>12700</xdr:rowOff>
    </xdr:from>
    <xdr:to>
      <xdr:col>1</xdr:col>
      <xdr:colOff>2898140</xdr:colOff>
      <xdr:row>4</xdr:row>
      <xdr:rowOff>154733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97BED10-3D01-4559-BED8-A15F93E1F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" y="12700"/>
          <a:ext cx="2247900" cy="1056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contato@pernambucoled.com.br" TargetMode="External"/><Relationship Id="rId2" Type="http://schemas.openxmlformats.org/officeDocument/2006/relationships/hyperlink" Target="mailto:comercial3@medluz.com.br" TargetMode="External"/><Relationship Id="rId1" Type="http://schemas.openxmlformats.org/officeDocument/2006/relationships/hyperlink" Target="mailto:nsousanick@hotmail.com" TargetMode="External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4147E-8183-4227-8D0E-71E15158D7E2}">
  <dimension ref="A1:L402"/>
  <sheetViews>
    <sheetView tabSelected="1" view="pageBreakPreview" topLeftCell="A37" zoomScaleNormal="100" zoomScaleSheetLayoutView="100" workbookViewId="0">
      <selection activeCell="C44" sqref="C44"/>
    </sheetView>
  </sheetViews>
  <sheetFormatPr defaultColWidth="9.44140625" defaultRowHeight="13.8"/>
  <cols>
    <col min="1" max="1" width="7.6640625" style="4" customWidth="1"/>
    <col min="2" max="2" width="15" style="4" customWidth="1"/>
    <col min="3" max="3" width="60.109375" style="4" customWidth="1"/>
    <col min="4" max="4" width="9" style="4" customWidth="1"/>
    <col min="5" max="5" width="13.33203125" style="92" customWidth="1"/>
    <col min="6" max="6" width="11.5546875" style="4" customWidth="1"/>
    <col min="7" max="7" width="12.44140625" style="4" customWidth="1"/>
    <col min="8" max="8" width="10.88671875" style="2" customWidth="1"/>
    <col min="9" max="9" width="12.88671875" style="2" customWidth="1"/>
    <col min="10" max="10" width="14.109375" style="3" customWidth="1"/>
    <col min="11" max="12" width="9.44140625" style="3"/>
    <col min="13" max="256" width="9.44140625" style="4"/>
    <col min="257" max="257" width="7.6640625" style="4" customWidth="1"/>
    <col min="258" max="258" width="15" style="4" customWidth="1"/>
    <col min="259" max="259" width="60.109375" style="4" customWidth="1"/>
    <col min="260" max="260" width="9" style="4" customWidth="1"/>
    <col min="261" max="261" width="13.33203125" style="4" customWidth="1"/>
    <col min="262" max="262" width="11.5546875" style="4" customWidth="1"/>
    <col min="263" max="263" width="12.44140625" style="4" customWidth="1"/>
    <col min="264" max="264" width="10.88671875" style="4" customWidth="1"/>
    <col min="265" max="265" width="12.88671875" style="4" customWidth="1"/>
    <col min="266" max="266" width="14.109375" style="4" customWidth="1"/>
    <col min="267" max="512" width="9.44140625" style="4"/>
    <col min="513" max="513" width="7.6640625" style="4" customWidth="1"/>
    <col min="514" max="514" width="15" style="4" customWidth="1"/>
    <col min="515" max="515" width="60.109375" style="4" customWidth="1"/>
    <col min="516" max="516" width="9" style="4" customWidth="1"/>
    <col min="517" max="517" width="13.33203125" style="4" customWidth="1"/>
    <col min="518" max="518" width="11.5546875" style="4" customWidth="1"/>
    <col min="519" max="519" width="12.44140625" style="4" customWidth="1"/>
    <col min="520" max="520" width="10.88671875" style="4" customWidth="1"/>
    <col min="521" max="521" width="12.88671875" style="4" customWidth="1"/>
    <col min="522" max="522" width="14.109375" style="4" customWidth="1"/>
    <col min="523" max="768" width="9.44140625" style="4"/>
    <col min="769" max="769" width="7.6640625" style="4" customWidth="1"/>
    <col min="770" max="770" width="15" style="4" customWidth="1"/>
    <col min="771" max="771" width="60.109375" style="4" customWidth="1"/>
    <col min="772" max="772" width="9" style="4" customWidth="1"/>
    <col min="773" max="773" width="13.33203125" style="4" customWidth="1"/>
    <col min="774" max="774" width="11.5546875" style="4" customWidth="1"/>
    <col min="775" max="775" width="12.44140625" style="4" customWidth="1"/>
    <col min="776" max="776" width="10.88671875" style="4" customWidth="1"/>
    <col min="777" max="777" width="12.88671875" style="4" customWidth="1"/>
    <col min="778" max="778" width="14.109375" style="4" customWidth="1"/>
    <col min="779" max="1024" width="9.44140625" style="4"/>
    <col min="1025" max="1025" width="7.6640625" style="4" customWidth="1"/>
    <col min="1026" max="1026" width="15" style="4" customWidth="1"/>
    <col min="1027" max="1027" width="60.109375" style="4" customWidth="1"/>
    <col min="1028" max="1028" width="9" style="4" customWidth="1"/>
    <col min="1029" max="1029" width="13.33203125" style="4" customWidth="1"/>
    <col min="1030" max="1030" width="11.5546875" style="4" customWidth="1"/>
    <col min="1031" max="1031" width="12.44140625" style="4" customWidth="1"/>
    <col min="1032" max="1032" width="10.88671875" style="4" customWidth="1"/>
    <col min="1033" max="1033" width="12.88671875" style="4" customWidth="1"/>
    <col min="1034" max="1034" width="14.109375" style="4" customWidth="1"/>
    <col min="1035" max="1280" width="9.44140625" style="4"/>
    <col min="1281" max="1281" width="7.6640625" style="4" customWidth="1"/>
    <col min="1282" max="1282" width="15" style="4" customWidth="1"/>
    <col min="1283" max="1283" width="60.109375" style="4" customWidth="1"/>
    <col min="1284" max="1284" width="9" style="4" customWidth="1"/>
    <col min="1285" max="1285" width="13.33203125" style="4" customWidth="1"/>
    <col min="1286" max="1286" width="11.5546875" style="4" customWidth="1"/>
    <col min="1287" max="1287" width="12.44140625" style="4" customWidth="1"/>
    <col min="1288" max="1288" width="10.88671875" style="4" customWidth="1"/>
    <col min="1289" max="1289" width="12.88671875" style="4" customWidth="1"/>
    <col min="1290" max="1290" width="14.109375" style="4" customWidth="1"/>
    <col min="1291" max="1536" width="9.44140625" style="4"/>
    <col min="1537" max="1537" width="7.6640625" style="4" customWidth="1"/>
    <col min="1538" max="1538" width="15" style="4" customWidth="1"/>
    <col min="1539" max="1539" width="60.109375" style="4" customWidth="1"/>
    <col min="1540" max="1540" width="9" style="4" customWidth="1"/>
    <col min="1541" max="1541" width="13.33203125" style="4" customWidth="1"/>
    <col min="1542" max="1542" width="11.5546875" style="4" customWidth="1"/>
    <col min="1543" max="1543" width="12.44140625" style="4" customWidth="1"/>
    <col min="1544" max="1544" width="10.88671875" style="4" customWidth="1"/>
    <col min="1545" max="1545" width="12.88671875" style="4" customWidth="1"/>
    <col min="1546" max="1546" width="14.109375" style="4" customWidth="1"/>
    <col min="1547" max="1792" width="9.44140625" style="4"/>
    <col min="1793" max="1793" width="7.6640625" style="4" customWidth="1"/>
    <col min="1794" max="1794" width="15" style="4" customWidth="1"/>
    <col min="1795" max="1795" width="60.109375" style="4" customWidth="1"/>
    <col min="1796" max="1796" width="9" style="4" customWidth="1"/>
    <col min="1797" max="1797" width="13.33203125" style="4" customWidth="1"/>
    <col min="1798" max="1798" width="11.5546875" style="4" customWidth="1"/>
    <col min="1799" max="1799" width="12.44140625" style="4" customWidth="1"/>
    <col min="1800" max="1800" width="10.88671875" style="4" customWidth="1"/>
    <col min="1801" max="1801" width="12.88671875" style="4" customWidth="1"/>
    <col min="1802" max="1802" width="14.109375" style="4" customWidth="1"/>
    <col min="1803" max="2048" width="9.44140625" style="4"/>
    <col min="2049" max="2049" width="7.6640625" style="4" customWidth="1"/>
    <col min="2050" max="2050" width="15" style="4" customWidth="1"/>
    <col min="2051" max="2051" width="60.109375" style="4" customWidth="1"/>
    <col min="2052" max="2052" width="9" style="4" customWidth="1"/>
    <col min="2053" max="2053" width="13.33203125" style="4" customWidth="1"/>
    <col min="2054" max="2054" width="11.5546875" style="4" customWidth="1"/>
    <col min="2055" max="2055" width="12.44140625" style="4" customWidth="1"/>
    <col min="2056" max="2056" width="10.88671875" style="4" customWidth="1"/>
    <col min="2057" max="2057" width="12.88671875" style="4" customWidth="1"/>
    <col min="2058" max="2058" width="14.109375" style="4" customWidth="1"/>
    <col min="2059" max="2304" width="9.44140625" style="4"/>
    <col min="2305" max="2305" width="7.6640625" style="4" customWidth="1"/>
    <col min="2306" max="2306" width="15" style="4" customWidth="1"/>
    <col min="2307" max="2307" width="60.109375" style="4" customWidth="1"/>
    <col min="2308" max="2308" width="9" style="4" customWidth="1"/>
    <col min="2309" max="2309" width="13.33203125" style="4" customWidth="1"/>
    <col min="2310" max="2310" width="11.5546875" style="4" customWidth="1"/>
    <col min="2311" max="2311" width="12.44140625" style="4" customWidth="1"/>
    <col min="2312" max="2312" width="10.88671875" style="4" customWidth="1"/>
    <col min="2313" max="2313" width="12.88671875" style="4" customWidth="1"/>
    <col min="2314" max="2314" width="14.109375" style="4" customWidth="1"/>
    <col min="2315" max="2560" width="9.44140625" style="4"/>
    <col min="2561" max="2561" width="7.6640625" style="4" customWidth="1"/>
    <col min="2562" max="2562" width="15" style="4" customWidth="1"/>
    <col min="2563" max="2563" width="60.109375" style="4" customWidth="1"/>
    <col min="2564" max="2564" width="9" style="4" customWidth="1"/>
    <col min="2565" max="2565" width="13.33203125" style="4" customWidth="1"/>
    <col min="2566" max="2566" width="11.5546875" style="4" customWidth="1"/>
    <col min="2567" max="2567" width="12.44140625" style="4" customWidth="1"/>
    <col min="2568" max="2568" width="10.88671875" style="4" customWidth="1"/>
    <col min="2569" max="2569" width="12.88671875" style="4" customWidth="1"/>
    <col min="2570" max="2570" width="14.109375" style="4" customWidth="1"/>
    <col min="2571" max="2816" width="9.44140625" style="4"/>
    <col min="2817" max="2817" width="7.6640625" style="4" customWidth="1"/>
    <col min="2818" max="2818" width="15" style="4" customWidth="1"/>
    <col min="2819" max="2819" width="60.109375" style="4" customWidth="1"/>
    <col min="2820" max="2820" width="9" style="4" customWidth="1"/>
    <col min="2821" max="2821" width="13.33203125" style="4" customWidth="1"/>
    <col min="2822" max="2822" width="11.5546875" style="4" customWidth="1"/>
    <col min="2823" max="2823" width="12.44140625" style="4" customWidth="1"/>
    <col min="2824" max="2824" width="10.88671875" style="4" customWidth="1"/>
    <col min="2825" max="2825" width="12.88671875" style="4" customWidth="1"/>
    <col min="2826" max="2826" width="14.109375" style="4" customWidth="1"/>
    <col min="2827" max="3072" width="9.44140625" style="4"/>
    <col min="3073" max="3073" width="7.6640625" style="4" customWidth="1"/>
    <col min="3074" max="3074" width="15" style="4" customWidth="1"/>
    <col min="3075" max="3075" width="60.109375" style="4" customWidth="1"/>
    <col min="3076" max="3076" width="9" style="4" customWidth="1"/>
    <col min="3077" max="3077" width="13.33203125" style="4" customWidth="1"/>
    <col min="3078" max="3078" width="11.5546875" style="4" customWidth="1"/>
    <col min="3079" max="3079" width="12.44140625" style="4" customWidth="1"/>
    <col min="3080" max="3080" width="10.88671875" style="4" customWidth="1"/>
    <col min="3081" max="3081" width="12.88671875" style="4" customWidth="1"/>
    <col min="3082" max="3082" width="14.109375" style="4" customWidth="1"/>
    <col min="3083" max="3328" width="9.44140625" style="4"/>
    <col min="3329" max="3329" width="7.6640625" style="4" customWidth="1"/>
    <col min="3330" max="3330" width="15" style="4" customWidth="1"/>
    <col min="3331" max="3331" width="60.109375" style="4" customWidth="1"/>
    <col min="3332" max="3332" width="9" style="4" customWidth="1"/>
    <col min="3333" max="3333" width="13.33203125" style="4" customWidth="1"/>
    <col min="3334" max="3334" width="11.5546875" style="4" customWidth="1"/>
    <col min="3335" max="3335" width="12.44140625" style="4" customWidth="1"/>
    <col min="3336" max="3336" width="10.88671875" style="4" customWidth="1"/>
    <col min="3337" max="3337" width="12.88671875" style="4" customWidth="1"/>
    <col min="3338" max="3338" width="14.109375" style="4" customWidth="1"/>
    <col min="3339" max="3584" width="9.44140625" style="4"/>
    <col min="3585" max="3585" width="7.6640625" style="4" customWidth="1"/>
    <col min="3586" max="3586" width="15" style="4" customWidth="1"/>
    <col min="3587" max="3587" width="60.109375" style="4" customWidth="1"/>
    <col min="3588" max="3588" width="9" style="4" customWidth="1"/>
    <col min="3589" max="3589" width="13.33203125" style="4" customWidth="1"/>
    <col min="3590" max="3590" width="11.5546875" style="4" customWidth="1"/>
    <col min="3591" max="3591" width="12.44140625" style="4" customWidth="1"/>
    <col min="3592" max="3592" width="10.88671875" style="4" customWidth="1"/>
    <col min="3593" max="3593" width="12.88671875" style="4" customWidth="1"/>
    <col min="3594" max="3594" width="14.109375" style="4" customWidth="1"/>
    <col min="3595" max="3840" width="9.44140625" style="4"/>
    <col min="3841" max="3841" width="7.6640625" style="4" customWidth="1"/>
    <col min="3842" max="3842" width="15" style="4" customWidth="1"/>
    <col min="3843" max="3843" width="60.109375" style="4" customWidth="1"/>
    <col min="3844" max="3844" width="9" style="4" customWidth="1"/>
    <col min="3845" max="3845" width="13.33203125" style="4" customWidth="1"/>
    <col min="3846" max="3846" width="11.5546875" style="4" customWidth="1"/>
    <col min="3847" max="3847" width="12.44140625" style="4" customWidth="1"/>
    <col min="3848" max="3848" width="10.88671875" style="4" customWidth="1"/>
    <col min="3849" max="3849" width="12.88671875" style="4" customWidth="1"/>
    <col min="3850" max="3850" width="14.109375" style="4" customWidth="1"/>
    <col min="3851" max="4096" width="9.44140625" style="4"/>
    <col min="4097" max="4097" width="7.6640625" style="4" customWidth="1"/>
    <col min="4098" max="4098" width="15" style="4" customWidth="1"/>
    <col min="4099" max="4099" width="60.109375" style="4" customWidth="1"/>
    <col min="4100" max="4100" width="9" style="4" customWidth="1"/>
    <col min="4101" max="4101" width="13.33203125" style="4" customWidth="1"/>
    <col min="4102" max="4102" width="11.5546875" style="4" customWidth="1"/>
    <col min="4103" max="4103" width="12.44140625" style="4" customWidth="1"/>
    <col min="4104" max="4104" width="10.88671875" style="4" customWidth="1"/>
    <col min="4105" max="4105" width="12.88671875" style="4" customWidth="1"/>
    <col min="4106" max="4106" width="14.109375" style="4" customWidth="1"/>
    <col min="4107" max="4352" width="9.44140625" style="4"/>
    <col min="4353" max="4353" width="7.6640625" style="4" customWidth="1"/>
    <col min="4354" max="4354" width="15" style="4" customWidth="1"/>
    <col min="4355" max="4355" width="60.109375" style="4" customWidth="1"/>
    <col min="4356" max="4356" width="9" style="4" customWidth="1"/>
    <col min="4357" max="4357" width="13.33203125" style="4" customWidth="1"/>
    <col min="4358" max="4358" width="11.5546875" style="4" customWidth="1"/>
    <col min="4359" max="4359" width="12.44140625" style="4" customWidth="1"/>
    <col min="4360" max="4360" width="10.88671875" style="4" customWidth="1"/>
    <col min="4361" max="4361" width="12.88671875" style="4" customWidth="1"/>
    <col min="4362" max="4362" width="14.109375" style="4" customWidth="1"/>
    <col min="4363" max="4608" width="9.44140625" style="4"/>
    <col min="4609" max="4609" width="7.6640625" style="4" customWidth="1"/>
    <col min="4610" max="4610" width="15" style="4" customWidth="1"/>
    <col min="4611" max="4611" width="60.109375" style="4" customWidth="1"/>
    <col min="4612" max="4612" width="9" style="4" customWidth="1"/>
    <col min="4613" max="4613" width="13.33203125" style="4" customWidth="1"/>
    <col min="4614" max="4614" width="11.5546875" style="4" customWidth="1"/>
    <col min="4615" max="4615" width="12.44140625" style="4" customWidth="1"/>
    <col min="4616" max="4616" width="10.88671875" style="4" customWidth="1"/>
    <col min="4617" max="4617" width="12.88671875" style="4" customWidth="1"/>
    <col min="4618" max="4618" width="14.109375" style="4" customWidth="1"/>
    <col min="4619" max="4864" width="9.44140625" style="4"/>
    <col min="4865" max="4865" width="7.6640625" style="4" customWidth="1"/>
    <col min="4866" max="4866" width="15" style="4" customWidth="1"/>
    <col min="4867" max="4867" width="60.109375" style="4" customWidth="1"/>
    <col min="4868" max="4868" width="9" style="4" customWidth="1"/>
    <col min="4869" max="4869" width="13.33203125" style="4" customWidth="1"/>
    <col min="4870" max="4870" width="11.5546875" style="4" customWidth="1"/>
    <col min="4871" max="4871" width="12.44140625" style="4" customWidth="1"/>
    <col min="4872" max="4872" width="10.88671875" style="4" customWidth="1"/>
    <col min="4873" max="4873" width="12.88671875" style="4" customWidth="1"/>
    <col min="4874" max="4874" width="14.109375" style="4" customWidth="1"/>
    <col min="4875" max="5120" width="9.44140625" style="4"/>
    <col min="5121" max="5121" width="7.6640625" style="4" customWidth="1"/>
    <col min="5122" max="5122" width="15" style="4" customWidth="1"/>
    <col min="5123" max="5123" width="60.109375" style="4" customWidth="1"/>
    <col min="5124" max="5124" width="9" style="4" customWidth="1"/>
    <col min="5125" max="5125" width="13.33203125" style="4" customWidth="1"/>
    <col min="5126" max="5126" width="11.5546875" style="4" customWidth="1"/>
    <col min="5127" max="5127" width="12.44140625" style="4" customWidth="1"/>
    <col min="5128" max="5128" width="10.88671875" style="4" customWidth="1"/>
    <col min="5129" max="5129" width="12.88671875" style="4" customWidth="1"/>
    <col min="5130" max="5130" width="14.109375" style="4" customWidth="1"/>
    <col min="5131" max="5376" width="9.44140625" style="4"/>
    <col min="5377" max="5377" width="7.6640625" style="4" customWidth="1"/>
    <col min="5378" max="5378" width="15" style="4" customWidth="1"/>
    <col min="5379" max="5379" width="60.109375" style="4" customWidth="1"/>
    <col min="5380" max="5380" width="9" style="4" customWidth="1"/>
    <col min="5381" max="5381" width="13.33203125" style="4" customWidth="1"/>
    <col min="5382" max="5382" width="11.5546875" style="4" customWidth="1"/>
    <col min="5383" max="5383" width="12.44140625" style="4" customWidth="1"/>
    <col min="5384" max="5384" width="10.88671875" style="4" customWidth="1"/>
    <col min="5385" max="5385" width="12.88671875" style="4" customWidth="1"/>
    <col min="5386" max="5386" width="14.109375" style="4" customWidth="1"/>
    <col min="5387" max="5632" width="9.44140625" style="4"/>
    <col min="5633" max="5633" width="7.6640625" style="4" customWidth="1"/>
    <col min="5634" max="5634" width="15" style="4" customWidth="1"/>
    <col min="5635" max="5635" width="60.109375" style="4" customWidth="1"/>
    <col min="5636" max="5636" width="9" style="4" customWidth="1"/>
    <col min="5637" max="5637" width="13.33203125" style="4" customWidth="1"/>
    <col min="5638" max="5638" width="11.5546875" style="4" customWidth="1"/>
    <col min="5639" max="5639" width="12.44140625" style="4" customWidth="1"/>
    <col min="5640" max="5640" width="10.88671875" style="4" customWidth="1"/>
    <col min="5641" max="5641" width="12.88671875" style="4" customWidth="1"/>
    <col min="5642" max="5642" width="14.109375" style="4" customWidth="1"/>
    <col min="5643" max="5888" width="9.44140625" style="4"/>
    <col min="5889" max="5889" width="7.6640625" style="4" customWidth="1"/>
    <col min="5890" max="5890" width="15" style="4" customWidth="1"/>
    <col min="5891" max="5891" width="60.109375" style="4" customWidth="1"/>
    <col min="5892" max="5892" width="9" style="4" customWidth="1"/>
    <col min="5893" max="5893" width="13.33203125" style="4" customWidth="1"/>
    <col min="5894" max="5894" width="11.5546875" style="4" customWidth="1"/>
    <col min="5895" max="5895" width="12.44140625" style="4" customWidth="1"/>
    <col min="5896" max="5896" width="10.88671875" style="4" customWidth="1"/>
    <col min="5897" max="5897" width="12.88671875" style="4" customWidth="1"/>
    <col min="5898" max="5898" width="14.109375" style="4" customWidth="1"/>
    <col min="5899" max="6144" width="9.44140625" style="4"/>
    <col min="6145" max="6145" width="7.6640625" style="4" customWidth="1"/>
    <col min="6146" max="6146" width="15" style="4" customWidth="1"/>
    <col min="6147" max="6147" width="60.109375" style="4" customWidth="1"/>
    <col min="6148" max="6148" width="9" style="4" customWidth="1"/>
    <col min="6149" max="6149" width="13.33203125" style="4" customWidth="1"/>
    <col min="6150" max="6150" width="11.5546875" style="4" customWidth="1"/>
    <col min="6151" max="6151" width="12.44140625" style="4" customWidth="1"/>
    <col min="6152" max="6152" width="10.88671875" style="4" customWidth="1"/>
    <col min="6153" max="6153" width="12.88671875" style="4" customWidth="1"/>
    <col min="6154" max="6154" width="14.109375" style="4" customWidth="1"/>
    <col min="6155" max="6400" width="9.44140625" style="4"/>
    <col min="6401" max="6401" width="7.6640625" style="4" customWidth="1"/>
    <col min="6402" max="6402" width="15" style="4" customWidth="1"/>
    <col min="6403" max="6403" width="60.109375" style="4" customWidth="1"/>
    <col min="6404" max="6404" width="9" style="4" customWidth="1"/>
    <col min="6405" max="6405" width="13.33203125" style="4" customWidth="1"/>
    <col min="6406" max="6406" width="11.5546875" style="4" customWidth="1"/>
    <col min="6407" max="6407" width="12.44140625" style="4" customWidth="1"/>
    <col min="6408" max="6408" width="10.88671875" style="4" customWidth="1"/>
    <col min="6409" max="6409" width="12.88671875" style="4" customWidth="1"/>
    <col min="6410" max="6410" width="14.109375" style="4" customWidth="1"/>
    <col min="6411" max="6656" width="9.44140625" style="4"/>
    <col min="6657" max="6657" width="7.6640625" style="4" customWidth="1"/>
    <col min="6658" max="6658" width="15" style="4" customWidth="1"/>
    <col min="6659" max="6659" width="60.109375" style="4" customWidth="1"/>
    <col min="6660" max="6660" width="9" style="4" customWidth="1"/>
    <col min="6661" max="6661" width="13.33203125" style="4" customWidth="1"/>
    <col min="6662" max="6662" width="11.5546875" style="4" customWidth="1"/>
    <col min="6663" max="6663" width="12.44140625" style="4" customWidth="1"/>
    <col min="6664" max="6664" width="10.88671875" style="4" customWidth="1"/>
    <col min="6665" max="6665" width="12.88671875" style="4" customWidth="1"/>
    <col min="6666" max="6666" width="14.109375" style="4" customWidth="1"/>
    <col min="6667" max="6912" width="9.44140625" style="4"/>
    <col min="6913" max="6913" width="7.6640625" style="4" customWidth="1"/>
    <col min="6914" max="6914" width="15" style="4" customWidth="1"/>
    <col min="6915" max="6915" width="60.109375" style="4" customWidth="1"/>
    <col min="6916" max="6916" width="9" style="4" customWidth="1"/>
    <col min="6917" max="6917" width="13.33203125" style="4" customWidth="1"/>
    <col min="6918" max="6918" width="11.5546875" style="4" customWidth="1"/>
    <col min="6919" max="6919" width="12.44140625" style="4" customWidth="1"/>
    <col min="6920" max="6920" width="10.88671875" style="4" customWidth="1"/>
    <col min="6921" max="6921" width="12.88671875" style="4" customWidth="1"/>
    <col min="6922" max="6922" width="14.109375" style="4" customWidth="1"/>
    <col min="6923" max="7168" width="9.44140625" style="4"/>
    <col min="7169" max="7169" width="7.6640625" style="4" customWidth="1"/>
    <col min="7170" max="7170" width="15" style="4" customWidth="1"/>
    <col min="7171" max="7171" width="60.109375" style="4" customWidth="1"/>
    <col min="7172" max="7172" width="9" style="4" customWidth="1"/>
    <col min="7173" max="7173" width="13.33203125" style="4" customWidth="1"/>
    <col min="7174" max="7174" width="11.5546875" style="4" customWidth="1"/>
    <col min="7175" max="7175" width="12.44140625" style="4" customWidth="1"/>
    <col min="7176" max="7176" width="10.88671875" style="4" customWidth="1"/>
    <col min="7177" max="7177" width="12.88671875" style="4" customWidth="1"/>
    <col min="7178" max="7178" width="14.109375" style="4" customWidth="1"/>
    <col min="7179" max="7424" width="9.44140625" style="4"/>
    <col min="7425" max="7425" width="7.6640625" style="4" customWidth="1"/>
    <col min="7426" max="7426" width="15" style="4" customWidth="1"/>
    <col min="7427" max="7427" width="60.109375" style="4" customWidth="1"/>
    <col min="7428" max="7428" width="9" style="4" customWidth="1"/>
    <col min="7429" max="7429" width="13.33203125" style="4" customWidth="1"/>
    <col min="7430" max="7430" width="11.5546875" style="4" customWidth="1"/>
    <col min="7431" max="7431" width="12.44140625" style="4" customWidth="1"/>
    <col min="7432" max="7432" width="10.88671875" style="4" customWidth="1"/>
    <col min="7433" max="7433" width="12.88671875" style="4" customWidth="1"/>
    <col min="7434" max="7434" width="14.109375" style="4" customWidth="1"/>
    <col min="7435" max="7680" width="9.44140625" style="4"/>
    <col min="7681" max="7681" width="7.6640625" style="4" customWidth="1"/>
    <col min="7682" max="7682" width="15" style="4" customWidth="1"/>
    <col min="7683" max="7683" width="60.109375" style="4" customWidth="1"/>
    <col min="7684" max="7684" width="9" style="4" customWidth="1"/>
    <col min="7685" max="7685" width="13.33203125" style="4" customWidth="1"/>
    <col min="7686" max="7686" width="11.5546875" style="4" customWidth="1"/>
    <col min="7687" max="7687" width="12.44140625" style="4" customWidth="1"/>
    <col min="7688" max="7688" width="10.88671875" style="4" customWidth="1"/>
    <col min="7689" max="7689" width="12.88671875" style="4" customWidth="1"/>
    <col min="7690" max="7690" width="14.109375" style="4" customWidth="1"/>
    <col min="7691" max="7936" width="9.44140625" style="4"/>
    <col min="7937" max="7937" width="7.6640625" style="4" customWidth="1"/>
    <col min="7938" max="7938" width="15" style="4" customWidth="1"/>
    <col min="7939" max="7939" width="60.109375" style="4" customWidth="1"/>
    <col min="7940" max="7940" width="9" style="4" customWidth="1"/>
    <col min="7941" max="7941" width="13.33203125" style="4" customWidth="1"/>
    <col min="7942" max="7942" width="11.5546875" style="4" customWidth="1"/>
    <col min="7943" max="7943" width="12.44140625" style="4" customWidth="1"/>
    <col min="7944" max="7944" width="10.88671875" style="4" customWidth="1"/>
    <col min="7945" max="7945" width="12.88671875" style="4" customWidth="1"/>
    <col min="7946" max="7946" width="14.109375" style="4" customWidth="1"/>
    <col min="7947" max="8192" width="9.44140625" style="4"/>
    <col min="8193" max="8193" width="7.6640625" style="4" customWidth="1"/>
    <col min="8194" max="8194" width="15" style="4" customWidth="1"/>
    <col min="8195" max="8195" width="60.109375" style="4" customWidth="1"/>
    <col min="8196" max="8196" width="9" style="4" customWidth="1"/>
    <col min="8197" max="8197" width="13.33203125" style="4" customWidth="1"/>
    <col min="8198" max="8198" width="11.5546875" style="4" customWidth="1"/>
    <col min="8199" max="8199" width="12.44140625" style="4" customWidth="1"/>
    <col min="8200" max="8200" width="10.88671875" style="4" customWidth="1"/>
    <col min="8201" max="8201" width="12.88671875" style="4" customWidth="1"/>
    <col min="8202" max="8202" width="14.109375" style="4" customWidth="1"/>
    <col min="8203" max="8448" width="9.44140625" style="4"/>
    <col min="8449" max="8449" width="7.6640625" style="4" customWidth="1"/>
    <col min="8450" max="8450" width="15" style="4" customWidth="1"/>
    <col min="8451" max="8451" width="60.109375" style="4" customWidth="1"/>
    <col min="8452" max="8452" width="9" style="4" customWidth="1"/>
    <col min="8453" max="8453" width="13.33203125" style="4" customWidth="1"/>
    <col min="8454" max="8454" width="11.5546875" style="4" customWidth="1"/>
    <col min="8455" max="8455" width="12.44140625" style="4" customWidth="1"/>
    <col min="8456" max="8456" width="10.88671875" style="4" customWidth="1"/>
    <col min="8457" max="8457" width="12.88671875" style="4" customWidth="1"/>
    <col min="8458" max="8458" width="14.109375" style="4" customWidth="1"/>
    <col min="8459" max="8704" width="9.44140625" style="4"/>
    <col min="8705" max="8705" width="7.6640625" style="4" customWidth="1"/>
    <col min="8706" max="8706" width="15" style="4" customWidth="1"/>
    <col min="8707" max="8707" width="60.109375" style="4" customWidth="1"/>
    <col min="8708" max="8708" width="9" style="4" customWidth="1"/>
    <col min="8709" max="8709" width="13.33203125" style="4" customWidth="1"/>
    <col min="8710" max="8710" width="11.5546875" style="4" customWidth="1"/>
    <col min="8711" max="8711" width="12.44140625" style="4" customWidth="1"/>
    <col min="8712" max="8712" width="10.88671875" style="4" customWidth="1"/>
    <col min="8713" max="8713" width="12.88671875" style="4" customWidth="1"/>
    <col min="8714" max="8714" width="14.109375" style="4" customWidth="1"/>
    <col min="8715" max="8960" width="9.44140625" style="4"/>
    <col min="8961" max="8961" width="7.6640625" style="4" customWidth="1"/>
    <col min="8962" max="8962" width="15" style="4" customWidth="1"/>
    <col min="8963" max="8963" width="60.109375" style="4" customWidth="1"/>
    <col min="8964" max="8964" width="9" style="4" customWidth="1"/>
    <col min="8965" max="8965" width="13.33203125" style="4" customWidth="1"/>
    <col min="8966" max="8966" width="11.5546875" style="4" customWidth="1"/>
    <col min="8967" max="8967" width="12.44140625" style="4" customWidth="1"/>
    <col min="8968" max="8968" width="10.88671875" style="4" customWidth="1"/>
    <col min="8969" max="8969" width="12.88671875" style="4" customWidth="1"/>
    <col min="8970" max="8970" width="14.109375" style="4" customWidth="1"/>
    <col min="8971" max="9216" width="9.44140625" style="4"/>
    <col min="9217" max="9217" width="7.6640625" style="4" customWidth="1"/>
    <col min="9218" max="9218" width="15" style="4" customWidth="1"/>
    <col min="9219" max="9219" width="60.109375" style="4" customWidth="1"/>
    <col min="9220" max="9220" width="9" style="4" customWidth="1"/>
    <col min="9221" max="9221" width="13.33203125" style="4" customWidth="1"/>
    <col min="9222" max="9222" width="11.5546875" style="4" customWidth="1"/>
    <col min="9223" max="9223" width="12.44140625" style="4" customWidth="1"/>
    <col min="9224" max="9224" width="10.88671875" style="4" customWidth="1"/>
    <col min="9225" max="9225" width="12.88671875" style="4" customWidth="1"/>
    <col min="9226" max="9226" width="14.109375" style="4" customWidth="1"/>
    <col min="9227" max="9472" width="9.44140625" style="4"/>
    <col min="9473" max="9473" width="7.6640625" style="4" customWidth="1"/>
    <col min="9474" max="9474" width="15" style="4" customWidth="1"/>
    <col min="9475" max="9475" width="60.109375" style="4" customWidth="1"/>
    <col min="9476" max="9476" width="9" style="4" customWidth="1"/>
    <col min="9477" max="9477" width="13.33203125" style="4" customWidth="1"/>
    <col min="9478" max="9478" width="11.5546875" style="4" customWidth="1"/>
    <col min="9479" max="9479" width="12.44140625" style="4" customWidth="1"/>
    <col min="9480" max="9480" width="10.88671875" style="4" customWidth="1"/>
    <col min="9481" max="9481" width="12.88671875" style="4" customWidth="1"/>
    <col min="9482" max="9482" width="14.109375" style="4" customWidth="1"/>
    <col min="9483" max="9728" width="9.44140625" style="4"/>
    <col min="9729" max="9729" width="7.6640625" style="4" customWidth="1"/>
    <col min="9730" max="9730" width="15" style="4" customWidth="1"/>
    <col min="9731" max="9731" width="60.109375" style="4" customWidth="1"/>
    <col min="9732" max="9732" width="9" style="4" customWidth="1"/>
    <col min="9733" max="9733" width="13.33203125" style="4" customWidth="1"/>
    <col min="9734" max="9734" width="11.5546875" style="4" customWidth="1"/>
    <col min="9735" max="9735" width="12.44140625" style="4" customWidth="1"/>
    <col min="9736" max="9736" width="10.88671875" style="4" customWidth="1"/>
    <col min="9737" max="9737" width="12.88671875" style="4" customWidth="1"/>
    <col min="9738" max="9738" width="14.109375" style="4" customWidth="1"/>
    <col min="9739" max="9984" width="9.44140625" style="4"/>
    <col min="9985" max="9985" width="7.6640625" style="4" customWidth="1"/>
    <col min="9986" max="9986" width="15" style="4" customWidth="1"/>
    <col min="9987" max="9987" width="60.109375" style="4" customWidth="1"/>
    <col min="9988" max="9988" width="9" style="4" customWidth="1"/>
    <col min="9989" max="9989" width="13.33203125" style="4" customWidth="1"/>
    <col min="9990" max="9990" width="11.5546875" style="4" customWidth="1"/>
    <col min="9991" max="9991" width="12.44140625" style="4" customWidth="1"/>
    <col min="9992" max="9992" width="10.88671875" style="4" customWidth="1"/>
    <col min="9993" max="9993" width="12.88671875" style="4" customWidth="1"/>
    <col min="9994" max="9994" width="14.109375" style="4" customWidth="1"/>
    <col min="9995" max="10240" width="9.44140625" style="4"/>
    <col min="10241" max="10241" width="7.6640625" style="4" customWidth="1"/>
    <col min="10242" max="10242" width="15" style="4" customWidth="1"/>
    <col min="10243" max="10243" width="60.109375" style="4" customWidth="1"/>
    <col min="10244" max="10244" width="9" style="4" customWidth="1"/>
    <col min="10245" max="10245" width="13.33203125" style="4" customWidth="1"/>
    <col min="10246" max="10246" width="11.5546875" style="4" customWidth="1"/>
    <col min="10247" max="10247" width="12.44140625" style="4" customWidth="1"/>
    <col min="10248" max="10248" width="10.88671875" style="4" customWidth="1"/>
    <col min="10249" max="10249" width="12.88671875" style="4" customWidth="1"/>
    <col min="10250" max="10250" width="14.109375" style="4" customWidth="1"/>
    <col min="10251" max="10496" width="9.44140625" style="4"/>
    <col min="10497" max="10497" width="7.6640625" style="4" customWidth="1"/>
    <col min="10498" max="10498" width="15" style="4" customWidth="1"/>
    <col min="10499" max="10499" width="60.109375" style="4" customWidth="1"/>
    <col min="10500" max="10500" width="9" style="4" customWidth="1"/>
    <col min="10501" max="10501" width="13.33203125" style="4" customWidth="1"/>
    <col min="10502" max="10502" width="11.5546875" style="4" customWidth="1"/>
    <col min="10503" max="10503" width="12.44140625" style="4" customWidth="1"/>
    <col min="10504" max="10504" width="10.88671875" style="4" customWidth="1"/>
    <col min="10505" max="10505" width="12.88671875" style="4" customWidth="1"/>
    <col min="10506" max="10506" width="14.109375" style="4" customWidth="1"/>
    <col min="10507" max="10752" width="9.44140625" style="4"/>
    <col min="10753" max="10753" width="7.6640625" style="4" customWidth="1"/>
    <col min="10754" max="10754" width="15" style="4" customWidth="1"/>
    <col min="10755" max="10755" width="60.109375" style="4" customWidth="1"/>
    <col min="10756" max="10756" width="9" style="4" customWidth="1"/>
    <col min="10757" max="10757" width="13.33203125" style="4" customWidth="1"/>
    <col min="10758" max="10758" width="11.5546875" style="4" customWidth="1"/>
    <col min="10759" max="10759" width="12.44140625" style="4" customWidth="1"/>
    <col min="10760" max="10760" width="10.88671875" style="4" customWidth="1"/>
    <col min="10761" max="10761" width="12.88671875" style="4" customWidth="1"/>
    <col min="10762" max="10762" width="14.109375" style="4" customWidth="1"/>
    <col min="10763" max="11008" width="9.44140625" style="4"/>
    <col min="11009" max="11009" width="7.6640625" style="4" customWidth="1"/>
    <col min="11010" max="11010" width="15" style="4" customWidth="1"/>
    <col min="11011" max="11011" width="60.109375" style="4" customWidth="1"/>
    <col min="11012" max="11012" width="9" style="4" customWidth="1"/>
    <col min="11013" max="11013" width="13.33203125" style="4" customWidth="1"/>
    <col min="11014" max="11014" width="11.5546875" style="4" customWidth="1"/>
    <col min="11015" max="11015" width="12.44140625" style="4" customWidth="1"/>
    <col min="11016" max="11016" width="10.88671875" style="4" customWidth="1"/>
    <col min="11017" max="11017" width="12.88671875" style="4" customWidth="1"/>
    <col min="11018" max="11018" width="14.109375" style="4" customWidth="1"/>
    <col min="11019" max="11264" width="9.44140625" style="4"/>
    <col min="11265" max="11265" width="7.6640625" style="4" customWidth="1"/>
    <col min="11266" max="11266" width="15" style="4" customWidth="1"/>
    <col min="11267" max="11267" width="60.109375" style="4" customWidth="1"/>
    <col min="11268" max="11268" width="9" style="4" customWidth="1"/>
    <col min="11269" max="11269" width="13.33203125" style="4" customWidth="1"/>
    <col min="11270" max="11270" width="11.5546875" style="4" customWidth="1"/>
    <col min="11271" max="11271" width="12.44140625" style="4" customWidth="1"/>
    <col min="11272" max="11272" width="10.88671875" style="4" customWidth="1"/>
    <col min="11273" max="11273" width="12.88671875" style="4" customWidth="1"/>
    <col min="11274" max="11274" width="14.109375" style="4" customWidth="1"/>
    <col min="11275" max="11520" width="9.44140625" style="4"/>
    <col min="11521" max="11521" width="7.6640625" style="4" customWidth="1"/>
    <col min="11522" max="11522" width="15" style="4" customWidth="1"/>
    <col min="11523" max="11523" width="60.109375" style="4" customWidth="1"/>
    <col min="11524" max="11524" width="9" style="4" customWidth="1"/>
    <col min="11525" max="11525" width="13.33203125" style="4" customWidth="1"/>
    <col min="11526" max="11526" width="11.5546875" style="4" customWidth="1"/>
    <col min="11527" max="11527" width="12.44140625" style="4" customWidth="1"/>
    <col min="11528" max="11528" width="10.88671875" style="4" customWidth="1"/>
    <col min="11529" max="11529" width="12.88671875" style="4" customWidth="1"/>
    <col min="11530" max="11530" width="14.109375" style="4" customWidth="1"/>
    <col min="11531" max="11776" width="9.44140625" style="4"/>
    <col min="11777" max="11777" width="7.6640625" style="4" customWidth="1"/>
    <col min="11778" max="11778" width="15" style="4" customWidth="1"/>
    <col min="11779" max="11779" width="60.109375" style="4" customWidth="1"/>
    <col min="11780" max="11780" width="9" style="4" customWidth="1"/>
    <col min="11781" max="11781" width="13.33203125" style="4" customWidth="1"/>
    <col min="11782" max="11782" width="11.5546875" style="4" customWidth="1"/>
    <col min="11783" max="11783" width="12.44140625" style="4" customWidth="1"/>
    <col min="11784" max="11784" width="10.88671875" style="4" customWidth="1"/>
    <col min="11785" max="11785" width="12.88671875" style="4" customWidth="1"/>
    <col min="11786" max="11786" width="14.109375" style="4" customWidth="1"/>
    <col min="11787" max="12032" width="9.44140625" style="4"/>
    <col min="12033" max="12033" width="7.6640625" style="4" customWidth="1"/>
    <col min="12034" max="12034" width="15" style="4" customWidth="1"/>
    <col min="12035" max="12035" width="60.109375" style="4" customWidth="1"/>
    <col min="12036" max="12036" width="9" style="4" customWidth="1"/>
    <col min="12037" max="12037" width="13.33203125" style="4" customWidth="1"/>
    <col min="12038" max="12038" width="11.5546875" style="4" customWidth="1"/>
    <col min="12039" max="12039" width="12.44140625" style="4" customWidth="1"/>
    <col min="12040" max="12040" width="10.88671875" style="4" customWidth="1"/>
    <col min="12041" max="12041" width="12.88671875" style="4" customWidth="1"/>
    <col min="12042" max="12042" width="14.109375" style="4" customWidth="1"/>
    <col min="12043" max="12288" width="9.44140625" style="4"/>
    <col min="12289" max="12289" width="7.6640625" style="4" customWidth="1"/>
    <col min="12290" max="12290" width="15" style="4" customWidth="1"/>
    <col min="12291" max="12291" width="60.109375" style="4" customWidth="1"/>
    <col min="12292" max="12292" width="9" style="4" customWidth="1"/>
    <col min="12293" max="12293" width="13.33203125" style="4" customWidth="1"/>
    <col min="12294" max="12294" width="11.5546875" style="4" customWidth="1"/>
    <col min="12295" max="12295" width="12.44140625" style="4" customWidth="1"/>
    <col min="12296" max="12296" width="10.88671875" style="4" customWidth="1"/>
    <col min="12297" max="12297" width="12.88671875" style="4" customWidth="1"/>
    <col min="12298" max="12298" width="14.109375" style="4" customWidth="1"/>
    <col min="12299" max="12544" width="9.44140625" style="4"/>
    <col min="12545" max="12545" width="7.6640625" style="4" customWidth="1"/>
    <col min="12546" max="12546" width="15" style="4" customWidth="1"/>
    <col min="12547" max="12547" width="60.109375" style="4" customWidth="1"/>
    <col min="12548" max="12548" width="9" style="4" customWidth="1"/>
    <col min="12549" max="12549" width="13.33203125" style="4" customWidth="1"/>
    <col min="12550" max="12550" width="11.5546875" style="4" customWidth="1"/>
    <col min="12551" max="12551" width="12.44140625" style="4" customWidth="1"/>
    <col min="12552" max="12552" width="10.88671875" style="4" customWidth="1"/>
    <col min="12553" max="12553" width="12.88671875" style="4" customWidth="1"/>
    <col min="12554" max="12554" width="14.109375" style="4" customWidth="1"/>
    <col min="12555" max="12800" width="9.44140625" style="4"/>
    <col min="12801" max="12801" width="7.6640625" style="4" customWidth="1"/>
    <col min="12802" max="12802" width="15" style="4" customWidth="1"/>
    <col min="12803" max="12803" width="60.109375" style="4" customWidth="1"/>
    <col min="12804" max="12804" width="9" style="4" customWidth="1"/>
    <col min="12805" max="12805" width="13.33203125" style="4" customWidth="1"/>
    <col min="12806" max="12806" width="11.5546875" style="4" customWidth="1"/>
    <col min="12807" max="12807" width="12.44140625" style="4" customWidth="1"/>
    <col min="12808" max="12808" width="10.88671875" style="4" customWidth="1"/>
    <col min="12809" max="12809" width="12.88671875" style="4" customWidth="1"/>
    <col min="12810" max="12810" width="14.109375" style="4" customWidth="1"/>
    <col min="12811" max="13056" width="9.44140625" style="4"/>
    <col min="13057" max="13057" width="7.6640625" style="4" customWidth="1"/>
    <col min="13058" max="13058" width="15" style="4" customWidth="1"/>
    <col min="13059" max="13059" width="60.109375" style="4" customWidth="1"/>
    <col min="13060" max="13060" width="9" style="4" customWidth="1"/>
    <col min="13061" max="13061" width="13.33203125" style="4" customWidth="1"/>
    <col min="13062" max="13062" width="11.5546875" style="4" customWidth="1"/>
    <col min="13063" max="13063" width="12.44140625" style="4" customWidth="1"/>
    <col min="13064" max="13064" width="10.88671875" style="4" customWidth="1"/>
    <col min="13065" max="13065" width="12.88671875" style="4" customWidth="1"/>
    <col min="13066" max="13066" width="14.109375" style="4" customWidth="1"/>
    <col min="13067" max="13312" width="9.44140625" style="4"/>
    <col min="13313" max="13313" width="7.6640625" style="4" customWidth="1"/>
    <col min="13314" max="13314" width="15" style="4" customWidth="1"/>
    <col min="13315" max="13315" width="60.109375" style="4" customWidth="1"/>
    <col min="13316" max="13316" width="9" style="4" customWidth="1"/>
    <col min="13317" max="13317" width="13.33203125" style="4" customWidth="1"/>
    <col min="13318" max="13318" width="11.5546875" style="4" customWidth="1"/>
    <col min="13319" max="13319" width="12.44140625" style="4" customWidth="1"/>
    <col min="13320" max="13320" width="10.88671875" style="4" customWidth="1"/>
    <col min="13321" max="13321" width="12.88671875" style="4" customWidth="1"/>
    <col min="13322" max="13322" width="14.109375" style="4" customWidth="1"/>
    <col min="13323" max="13568" width="9.44140625" style="4"/>
    <col min="13569" max="13569" width="7.6640625" style="4" customWidth="1"/>
    <col min="13570" max="13570" width="15" style="4" customWidth="1"/>
    <col min="13571" max="13571" width="60.109375" style="4" customWidth="1"/>
    <col min="13572" max="13572" width="9" style="4" customWidth="1"/>
    <col min="13573" max="13573" width="13.33203125" style="4" customWidth="1"/>
    <col min="13574" max="13574" width="11.5546875" style="4" customWidth="1"/>
    <col min="13575" max="13575" width="12.44140625" style="4" customWidth="1"/>
    <col min="13576" max="13576" width="10.88671875" style="4" customWidth="1"/>
    <col min="13577" max="13577" width="12.88671875" style="4" customWidth="1"/>
    <col min="13578" max="13578" width="14.109375" style="4" customWidth="1"/>
    <col min="13579" max="13824" width="9.44140625" style="4"/>
    <col min="13825" max="13825" width="7.6640625" style="4" customWidth="1"/>
    <col min="13826" max="13826" width="15" style="4" customWidth="1"/>
    <col min="13827" max="13827" width="60.109375" style="4" customWidth="1"/>
    <col min="13828" max="13828" width="9" style="4" customWidth="1"/>
    <col min="13829" max="13829" width="13.33203125" style="4" customWidth="1"/>
    <col min="13830" max="13830" width="11.5546875" style="4" customWidth="1"/>
    <col min="13831" max="13831" width="12.44140625" style="4" customWidth="1"/>
    <col min="13832" max="13832" width="10.88671875" style="4" customWidth="1"/>
    <col min="13833" max="13833" width="12.88671875" style="4" customWidth="1"/>
    <col min="13834" max="13834" width="14.109375" style="4" customWidth="1"/>
    <col min="13835" max="14080" width="9.44140625" style="4"/>
    <col min="14081" max="14081" width="7.6640625" style="4" customWidth="1"/>
    <col min="14082" max="14082" width="15" style="4" customWidth="1"/>
    <col min="14083" max="14083" width="60.109375" style="4" customWidth="1"/>
    <col min="14084" max="14084" width="9" style="4" customWidth="1"/>
    <col min="14085" max="14085" width="13.33203125" style="4" customWidth="1"/>
    <col min="14086" max="14086" width="11.5546875" style="4" customWidth="1"/>
    <col min="14087" max="14087" width="12.44140625" style="4" customWidth="1"/>
    <col min="14088" max="14088" width="10.88671875" style="4" customWidth="1"/>
    <col min="14089" max="14089" width="12.88671875" style="4" customWidth="1"/>
    <col min="14090" max="14090" width="14.109375" style="4" customWidth="1"/>
    <col min="14091" max="14336" width="9.44140625" style="4"/>
    <col min="14337" max="14337" width="7.6640625" style="4" customWidth="1"/>
    <col min="14338" max="14338" width="15" style="4" customWidth="1"/>
    <col min="14339" max="14339" width="60.109375" style="4" customWidth="1"/>
    <col min="14340" max="14340" width="9" style="4" customWidth="1"/>
    <col min="14341" max="14341" width="13.33203125" style="4" customWidth="1"/>
    <col min="14342" max="14342" width="11.5546875" style="4" customWidth="1"/>
    <col min="14343" max="14343" width="12.44140625" style="4" customWidth="1"/>
    <col min="14344" max="14344" width="10.88671875" style="4" customWidth="1"/>
    <col min="14345" max="14345" width="12.88671875" style="4" customWidth="1"/>
    <col min="14346" max="14346" width="14.109375" style="4" customWidth="1"/>
    <col min="14347" max="14592" width="9.44140625" style="4"/>
    <col min="14593" max="14593" width="7.6640625" style="4" customWidth="1"/>
    <col min="14594" max="14594" width="15" style="4" customWidth="1"/>
    <col min="14595" max="14595" width="60.109375" style="4" customWidth="1"/>
    <col min="14596" max="14596" width="9" style="4" customWidth="1"/>
    <col min="14597" max="14597" width="13.33203125" style="4" customWidth="1"/>
    <col min="14598" max="14598" width="11.5546875" style="4" customWidth="1"/>
    <col min="14599" max="14599" width="12.44140625" style="4" customWidth="1"/>
    <col min="14600" max="14600" width="10.88671875" style="4" customWidth="1"/>
    <col min="14601" max="14601" width="12.88671875" style="4" customWidth="1"/>
    <col min="14602" max="14602" width="14.109375" style="4" customWidth="1"/>
    <col min="14603" max="14848" width="9.44140625" style="4"/>
    <col min="14849" max="14849" width="7.6640625" style="4" customWidth="1"/>
    <col min="14850" max="14850" width="15" style="4" customWidth="1"/>
    <col min="14851" max="14851" width="60.109375" style="4" customWidth="1"/>
    <col min="14852" max="14852" width="9" style="4" customWidth="1"/>
    <col min="14853" max="14853" width="13.33203125" style="4" customWidth="1"/>
    <col min="14854" max="14854" width="11.5546875" style="4" customWidth="1"/>
    <col min="14855" max="14855" width="12.44140625" style="4" customWidth="1"/>
    <col min="14856" max="14856" width="10.88671875" style="4" customWidth="1"/>
    <col min="14857" max="14857" width="12.88671875" style="4" customWidth="1"/>
    <col min="14858" max="14858" width="14.109375" style="4" customWidth="1"/>
    <col min="14859" max="15104" width="9.44140625" style="4"/>
    <col min="15105" max="15105" width="7.6640625" style="4" customWidth="1"/>
    <col min="15106" max="15106" width="15" style="4" customWidth="1"/>
    <col min="15107" max="15107" width="60.109375" style="4" customWidth="1"/>
    <col min="15108" max="15108" width="9" style="4" customWidth="1"/>
    <col min="15109" max="15109" width="13.33203125" style="4" customWidth="1"/>
    <col min="15110" max="15110" width="11.5546875" style="4" customWidth="1"/>
    <col min="15111" max="15111" width="12.44140625" style="4" customWidth="1"/>
    <col min="15112" max="15112" width="10.88671875" style="4" customWidth="1"/>
    <col min="15113" max="15113" width="12.88671875" style="4" customWidth="1"/>
    <col min="15114" max="15114" width="14.109375" style="4" customWidth="1"/>
    <col min="15115" max="15360" width="9.44140625" style="4"/>
    <col min="15361" max="15361" width="7.6640625" style="4" customWidth="1"/>
    <col min="15362" max="15362" width="15" style="4" customWidth="1"/>
    <col min="15363" max="15363" width="60.109375" style="4" customWidth="1"/>
    <col min="15364" max="15364" width="9" style="4" customWidth="1"/>
    <col min="15365" max="15365" width="13.33203125" style="4" customWidth="1"/>
    <col min="15366" max="15366" width="11.5546875" style="4" customWidth="1"/>
    <col min="15367" max="15367" width="12.44140625" style="4" customWidth="1"/>
    <col min="15368" max="15368" width="10.88671875" style="4" customWidth="1"/>
    <col min="15369" max="15369" width="12.88671875" style="4" customWidth="1"/>
    <col min="15370" max="15370" width="14.109375" style="4" customWidth="1"/>
    <col min="15371" max="15616" width="9.44140625" style="4"/>
    <col min="15617" max="15617" width="7.6640625" style="4" customWidth="1"/>
    <col min="15618" max="15618" width="15" style="4" customWidth="1"/>
    <col min="15619" max="15619" width="60.109375" style="4" customWidth="1"/>
    <col min="15620" max="15620" width="9" style="4" customWidth="1"/>
    <col min="15621" max="15621" width="13.33203125" style="4" customWidth="1"/>
    <col min="15622" max="15622" width="11.5546875" style="4" customWidth="1"/>
    <col min="15623" max="15623" width="12.44140625" style="4" customWidth="1"/>
    <col min="15624" max="15624" width="10.88671875" style="4" customWidth="1"/>
    <col min="15625" max="15625" width="12.88671875" style="4" customWidth="1"/>
    <col min="15626" max="15626" width="14.109375" style="4" customWidth="1"/>
    <col min="15627" max="15872" width="9.44140625" style="4"/>
    <col min="15873" max="15873" width="7.6640625" style="4" customWidth="1"/>
    <col min="15874" max="15874" width="15" style="4" customWidth="1"/>
    <col min="15875" max="15875" width="60.109375" style="4" customWidth="1"/>
    <col min="15876" max="15876" width="9" style="4" customWidth="1"/>
    <col min="15877" max="15877" width="13.33203125" style="4" customWidth="1"/>
    <col min="15878" max="15878" width="11.5546875" style="4" customWidth="1"/>
    <col min="15879" max="15879" width="12.44140625" style="4" customWidth="1"/>
    <col min="15880" max="15880" width="10.88671875" style="4" customWidth="1"/>
    <col min="15881" max="15881" width="12.88671875" style="4" customWidth="1"/>
    <col min="15882" max="15882" width="14.109375" style="4" customWidth="1"/>
    <col min="15883" max="16128" width="9.44140625" style="4"/>
    <col min="16129" max="16129" width="7.6640625" style="4" customWidth="1"/>
    <col min="16130" max="16130" width="15" style="4" customWidth="1"/>
    <col min="16131" max="16131" width="60.109375" style="4" customWidth="1"/>
    <col min="16132" max="16132" width="9" style="4" customWidth="1"/>
    <col min="16133" max="16133" width="13.33203125" style="4" customWidth="1"/>
    <col min="16134" max="16134" width="11.5546875" style="4" customWidth="1"/>
    <col min="16135" max="16135" width="12.44140625" style="4" customWidth="1"/>
    <col min="16136" max="16136" width="10.88671875" style="4" customWidth="1"/>
    <col min="16137" max="16137" width="12.88671875" style="4" customWidth="1"/>
    <col min="16138" max="16138" width="14.109375" style="4" customWidth="1"/>
    <col min="16139" max="16384" width="9.44140625" style="4"/>
  </cols>
  <sheetData>
    <row r="1" spans="1:12" ht="84.75" customHeight="1">
      <c r="A1" s="312"/>
      <c r="B1" s="312"/>
      <c r="C1" s="312"/>
      <c r="D1" s="312"/>
      <c r="E1" s="312"/>
      <c r="F1" s="312"/>
      <c r="G1" s="312"/>
      <c r="H1" s="1"/>
    </row>
    <row r="2" spans="1:12">
      <c r="A2" s="5" t="s">
        <v>0</v>
      </c>
      <c r="B2" s="6"/>
      <c r="C2" s="6"/>
      <c r="D2" s="7"/>
      <c r="E2" s="313" t="s">
        <v>1</v>
      </c>
      <c r="F2" s="314"/>
      <c r="G2" s="315"/>
      <c r="H2" s="8"/>
      <c r="I2" s="8"/>
      <c r="J2" s="9"/>
    </row>
    <row r="3" spans="1:12">
      <c r="A3" s="10" t="s">
        <v>2</v>
      </c>
      <c r="B3" s="9"/>
      <c r="C3" s="9"/>
      <c r="D3" s="11"/>
      <c r="E3" s="310" t="s">
        <v>3</v>
      </c>
      <c r="F3" s="311"/>
      <c r="G3" s="316"/>
      <c r="H3" s="8"/>
      <c r="I3" s="8"/>
      <c r="J3" s="9"/>
    </row>
    <row r="4" spans="1:12">
      <c r="A4" s="10" t="s">
        <v>4</v>
      </c>
      <c r="B4" s="9"/>
      <c r="C4" s="9"/>
      <c r="D4" s="11"/>
      <c r="E4" s="313" t="s">
        <v>5</v>
      </c>
      <c r="F4" s="314"/>
      <c r="G4" s="315"/>
      <c r="H4" s="12"/>
      <c r="I4" s="12"/>
      <c r="J4" s="13"/>
    </row>
    <row r="5" spans="1:12">
      <c r="A5" s="14" t="s">
        <v>440</v>
      </c>
      <c r="B5" s="15"/>
      <c r="C5" s="15"/>
      <c r="D5" s="16"/>
      <c r="E5" s="317">
        <v>0.18579999999999999</v>
      </c>
      <c r="F5" s="311"/>
      <c r="G5" s="316"/>
      <c r="H5" s="12"/>
      <c r="I5" s="12"/>
      <c r="J5" s="13"/>
    </row>
    <row r="6" spans="1:12">
      <c r="A6" s="310"/>
      <c r="B6" s="311"/>
      <c r="C6" s="311"/>
      <c r="D6" s="311"/>
      <c r="E6" s="311"/>
      <c r="F6" s="311"/>
      <c r="G6" s="311"/>
      <c r="H6" s="17"/>
      <c r="I6" s="17"/>
      <c r="J6" s="18"/>
    </row>
    <row r="7" spans="1:12">
      <c r="A7" s="319" t="s">
        <v>6</v>
      </c>
      <c r="B7" s="320"/>
      <c r="C7" s="320"/>
      <c r="D7" s="320"/>
      <c r="E7" s="320"/>
      <c r="F7" s="320"/>
      <c r="G7" s="321"/>
      <c r="H7" s="1"/>
      <c r="I7" s="19">
        <v>1.1858</v>
      </c>
    </row>
    <row r="8" spans="1:12" ht="41.4">
      <c r="A8" s="20" t="s">
        <v>7</v>
      </c>
      <c r="B8" s="20" t="s">
        <v>8</v>
      </c>
      <c r="C8" s="21" t="s">
        <v>9</v>
      </c>
      <c r="D8" s="20" t="s">
        <v>10</v>
      </c>
      <c r="E8" s="22" t="s">
        <v>11</v>
      </c>
      <c r="F8" s="20" t="s">
        <v>12</v>
      </c>
      <c r="G8" s="23" t="s">
        <v>13</v>
      </c>
      <c r="H8" s="24" t="s">
        <v>14</v>
      </c>
      <c r="I8" s="24" t="s">
        <v>15</v>
      </c>
    </row>
    <row r="9" spans="1:12">
      <c r="A9" s="25" t="s">
        <v>16</v>
      </c>
      <c r="B9" s="26"/>
      <c r="C9" s="27" t="s">
        <v>17</v>
      </c>
      <c r="D9" s="28"/>
      <c r="E9" s="29"/>
      <c r="F9" s="30"/>
      <c r="G9" s="31"/>
      <c r="H9" s="32"/>
      <c r="I9" s="32"/>
      <c r="J9" s="2"/>
    </row>
    <row r="10" spans="1:12" ht="27.6">
      <c r="A10" s="33" t="s">
        <v>18</v>
      </c>
      <c r="B10" s="34" t="s">
        <v>19</v>
      </c>
      <c r="C10" s="35" t="s">
        <v>20</v>
      </c>
      <c r="D10" s="34" t="s">
        <v>21</v>
      </c>
      <c r="E10" s="36">
        <f>'MC ORÇ BASE'!H12</f>
        <v>6</v>
      </c>
      <c r="F10" s="37">
        <f>I10</f>
        <v>367.63</v>
      </c>
      <c r="G10" s="37">
        <f>ROUND(F10*E10,2)</f>
        <v>2205.7800000000002</v>
      </c>
      <c r="H10" s="38">
        <v>310.02999999999997</v>
      </c>
      <c r="I10" s="39">
        <f>ROUND((H10*$I$7),2)</f>
        <v>367.63</v>
      </c>
      <c r="J10" s="2"/>
    </row>
    <row r="11" spans="1:12" ht="41.4">
      <c r="A11" s="33" t="s">
        <v>22</v>
      </c>
      <c r="B11" s="34" t="s">
        <v>23</v>
      </c>
      <c r="C11" s="35" t="s">
        <v>24</v>
      </c>
      <c r="D11" s="40" t="s">
        <v>21</v>
      </c>
      <c r="E11" s="36">
        <f>'MC ORÇ BASE'!H16</f>
        <v>1076.4000000000001</v>
      </c>
      <c r="F11" s="37">
        <f>I11</f>
        <v>0.74</v>
      </c>
      <c r="G11" s="37">
        <f>ROUND(F11*E11,2)</f>
        <v>796.54</v>
      </c>
      <c r="H11" s="38">
        <v>0.62</v>
      </c>
      <c r="I11" s="39">
        <f>ROUND((H11*$I$7),2)</f>
        <v>0.74</v>
      </c>
      <c r="J11" s="2"/>
    </row>
    <row r="12" spans="1:12" ht="27.6">
      <c r="A12" s="33" t="s">
        <v>25</v>
      </c>
      <c r="B12" s="41" t="s">
        <v>26</v>
      </c>
      <c r="C12" s="35" t="s">
        <v>27</v>
      </c>
      <c r="D12" s="40" t="s">
        <v>28</v>
      </c>
      <c r="E12" s="42">
        <f>'MC ORÇ BASE'!H20</f>
        <v>114</v>
      </c>
      <c r="F12" s="37">
        <f>I12</f>
        <v>74.95</v>
      </c>
      <c r="G12" s="37">
        <f>ROUND(F12*E12,2)</f>
        <v>8544.2999999999993</v>
      </c>
      <c r="H12" s="38">
        <v>63.21</v>
      </c>
      <c r="I12" s="39">
        <f>ROUND((H12*$I$7),2)</f>
        <v>74.95</v>
      </c>
      <c r="J12" s="2"/>
    </row>
    <row r="13" spans="1:12" s="47" customFormat="1" ht="12.75" customHeight="1">
      <c r="A13" s="43"/>
      <c r="B13" s="43"/>
      <c r="C13" s="44" t="s">
        <v>29</v>
      </c>
      <c r="D13" s="43"/>
      <c r="E13" s="43"/>
      <c r="F13" s="43"/>
      <c r="G13" s="45">
        <f>SUM(G10:G12)</f>
        <v>11546.619999999999</v>
      </c>
      <c r="H13" s="46"/>
      <c r="I13" s="39">
        <f>ROUND((H13*$I$7),2)</f>
        <v>0</v>
      </c>
      <c r="J13" s="2"/>
      <c r="K13" s="3"/>
      <c r="L13" s="3"/>
    </row>
    <row r="14" spans="1:12" s="47" customFormat="1">
      <c r="A14" s="48"/>
      <c r="B14" s="49"/>
      <c r="C14" s="50"/>
      <c r="D14" s="51"/>
      <c r="E14" s="52"/>
      <c r="F14" s="53"/>
      <c r="G14" s="53"/>
      <c r="H14" s="46"/>
      <c r="I14" s="39">
        <f>ROUND((H14*$I$7),2)</f>
        <v>0</v>
      </c>
      <c r="J14" s="2"/>
      <c r="K14" s="3"/>
      <c r="L14" s="3"/>
    </row>
    <row r="15" spans="1:12">
      <c r="A15" s="25" t="s">
        <v>30</v>
      </c>
      <c r="B15" s="26"/>
      <c r="C15" s="27" t="s">
        <v>31</v>
      </c>
      <c r="D15" s="28"/>
      <c r="E15" s="29"/>
      <c r="F15" s="30"/>
      <c r="G15" s="31"/>
      <c r="H15" s="32"/>
      <c r="I15" s="39">
        <f t="shared" ref="I15:I23" si="0">ROUND((H15*$I$7),2)</f>
        <v>0</v>
      </c>
      <c r="J15" s="2"/>
    </row>
    <row r="16" spans="1:12" ht="27.6">
      <c r="A16" s="76" t="s">
        <v>32</v>
      </c>
      <c r="B16" s="34" t="s">
        <v>33</v>
      </c>
      <c r="C16" s="35" t="s">
        <v>34</v>
      </c>
      <c r="D16" s="34" t="s">
        <v>35</v>
      </c>
      <c r="E16" s="66">
        <f>'MC ORÇ BASE'!H31</f>
        <v>27.34</v>
      </c>
      <c r="F16" s="37">
        <f>I16</f>
        <v>95.12</v>
      </c>
      <c r="G16" s="37">
        <f>ROUND(F16*E16,2)</f>
        <v>2600.58</v>
      </c>
      <c r="H16" s="54">
        <v>80.22</v>
      </c>
      <c r="I16" s="39">
        <f t="shared" si="0"/>
        <v>95.12</v>
      </c>
      <c r="J16" s="2"/>
    </row>
    <row r="17" spans="1:12" ht="27.6">
      <c r="A17" s="76" t="s">
        <v>36</v>
      </c>
      <c r="B17" s="34" t="s">
        <v>50</v>
      </c>
      <c r="C17" s="35" t="s">
        <v>51</v>
      </c>
      <c r="D17" s="34" t="s">
        <v>21</v>
      </c>
      <c r="E17" s="36">
        <f>'MC ORÇ BASE'!H38</f>
        <v>21.480000000000004</v>
      </c>
      <c r="F17" s="37">
        <f t="shared" ref="F17" si="1">I17</f>
        <v>42.18</v>
      </c>
      <c r="G17" s="37">
        <f t="shared" ref="G17" si="2">ROUND(F17*E17,2)</f>
        <v>906.03</v>
      </c>
      <c r="H17" s="38">
        <v>35.57</v>
      </c>
      <c r="I17" s="39">
        <f>ROUND((H17*$I$7),2)</f>
        <v>42.18</v>
      </c>
      <c r="J17" s="2"/>
    </row>
    <row r="18" spans="1:12" ht="41.4">
      <c r="A18" s="76" t="s">
        <v>43</v>
      </c>
      <c r="B18" s="40" t="s">
        <v>39</v>
      </c>
      <c r="C18" s="35" t="s">
        <v>40</v>
      </c>
      <c r="D18" s="55" t="s">
        <v>21</v>
      </c>
      <c r="E18" s="36">
        <f>'MC ORÇ BASE'!H45</f>
        <v>50.28</v>
      </c>
      <c r="F18" s="37">
        <f t="shared" ref="F18:F19" si="3">I18</f>
        <v>89.03</v>
      </c>
      <c r="G18" s="37">
        <f t="shared" ref="G18:G19" si="4">ROUND(F18*E18,2)</f>
        <v>4476.43</v>
      </c>
      <c r="H18" s="38">
        <v>75.08</v>
      </c>
      <c r="I18" s="39">
        <f>ROUND((H18*$I$7),2)</f>
        <v>89.03</v>
      </c>
      <c r="J18" s="2"/>
    </row>
    <row r="19" spans="1:12" ht="41.4">
      <c r="A19" s="76" t="s">
        <v>154</v>
      </c>
      <c r="B19" s="56" t="s">
        <v>41</v>
      </c>
      <c r="C19" s="35" t="s">
        <v>42</v>
      </c>
      <c r="D19" s="34" t="s">
        <v>35</v>
      </c>
      <c r="E19" s="57">
        <f>'MC ORÇ BASE'!H51</f>
        <v>1.68</v>
      </c>
      <c r="F19" s="37">
        <f t="shared" si="3"/>
        <v>2964.8</v>
      </c>
      <c r="G19" s="37">
        <f t="shared" si="4"/>
        <v>4980.8599999999997</v>
      </c>
      <c r="H19" s="39">
        <f>COMPOSIÇÕES!H15</f>
        <v>2500.25</v>
      </c>
      <c r="I19" s="39">
        <f>ROUND((H19*$I$7),2)</f>
        <v>2964.8</v>
      </c>
      <c r="J19" s="2"/>
    </row>
    <row r="20" spans="1:12" ht="41.4">
      <c r="A20" s="76" t="s">
        <v>155</v>
      </c>
      <c r="B20" s="34" t="s">
        <v>37</v>
      </c>
      <c r="C20" s="35" t="s">
        <v>38</v>
      </c>
      <c r="D20" s="34" t="s">
        <v>35</v>
      </c>
      <c r="E20" s="36">
        <f>'MC ORÇ BASE'!H58</f>
        <v>50.3</v>
      </c>
      <c r="F20" s="37">
        <f t="shared" ref="F20:F21" si="5">I20</f>
        <v>581.97</v>
      </c>
      <c r="G20" s="37">
        <f t="shared" ref="G20:G21" si="6">ROUND(F20*E20,2)</f>
        <v>29273.09</v>
      </c>
      <c r="H20" s="38">
        <v>490.78</v>
      </c>
      <c r="I20" s="39">
        <f t="shared" si="0"/>
        <v>581.97</v>
      </c>
      <c r="J20" s="2"/>
    </row>
    <row r="21" spans="1:12" ht="41.4">
      <c r="A21" s="76" t="s">
        <v>441</v>
      </c>
      <c r="B21" s="68" t="s">
        <v>41</v>
      </c>
      <c r="C21" s="75" t="s">
        <v>44</v>
      </c>
      <c r="D21" s="40" t="s">
        <v>35</v>
      </c>
      <c r="E21" s="36">
        <f>'MC ORÇ BASE'!H62</f>
        <v>781.81</v>
      </c>
      <c r="F21" s="37">
        <f t="shared" si="5"/>
        <v>38.93</v>
      </c>
      <c r="G21" s="37">
        <f t="shared" si="6"/>
        <v>30435.86</v>
      </c>
      <c r="H21" s="38">
        <f>COMPOSIÇÕES!H71</f>
        <v>32.83</v>
      </c>
      <c r="I21" s="39">
        <f t="shared" si="0"/>
        <v>38.93</v>
      </c>
      <c r="J21" s="2"/>
    </row>
    <row r="22" spans="1:12" s="47" customFormat="1" ht="12.75" customHeight="1">
      <c r="A22" s="43"/>
      <c r="B22" s="43"/>
      <c r="C22" s="44" t="s">
        <v>45</v>
      </c>
      <c r="D22" s="43"/>
      <c r="E22" s="43"/>
      <c r="F22" s="43"/>
      <c r="G22" s="45">
        <f>SUM(G16:G21)</f>
        <v>72672.850000000006</v>
      </c>
      <c r="H22" s="38"/>
      <c r="I22" s="39">
        <f t="shared" si="0"/>
        <v>0</v>
      </c>
      <c r="J22" s="2"/>
      <c r="K22" s="3"/>
      <c r="L22" s="3"/>
    </row>
    <row r="23" spans="1:12">
      <c r="A23" s="59"/>
      <c r="B23" s="60"/>
      <c r="C23" s="61"/>
      <c r="D23" s="62"/>
      <c r="E23" s="63"/>
      <c r="F23" s="64"/>
      <c r="G23" s="65"/>
      <c r="H23" s="38"/>
      <c r="I23" s="39">
        <f t="shared" si="0"/>
        <v>0</v>
      </c>
      <c r="J23" s="2"/>
    </row>
    <row r="24" spans="1:12">
      <c r="A24" s="25" t="s">
        <v>46</v>
      </c>
      <c r="B24" s="26"/>
      <c r="C24" s="27" t="s">
        <v>47</v>
      </c>
      <c r="D24" s="28"/>
      <c r="E24" s="29"/>
      <c r="F24" s="30"/>
      <c r="G24" s="31"/>
      <c r="H24" s="32"/>
      <c r="I24" s="32"/>
      <c r="J24" s="2"/>
    </row>
    <row r="25" spans="1:12" ht="27.6">
      <c r="A25" s="33" t="s">
        <v>48</v>
      </c>
      <c r="B25" s="34" t="s">
        <v>33</v>
      </c>
      <c r="C25" s="35" t="s">
        <v>34</v>
      </c>
      <c r="D25" s="34" t="s">
        <v>35</v>
      </c>
      <c r="E25" s="66">
        <f>'MC ORÇ BASE'!H72</f>
        <v>38.480000000000004</v>
      </c>
      <c r="F25" s="37">
        <f t="shared" ref="F25:F32" si="7">I25</f>
        <v>95.12</v>
      </c>
      <c r="G25" s="37">
        <f>ROUND(F25*E25,2)</f>
        <v>3660.22</v>
      </c>
      <c r="H25" s="54">
        <v>80.22</v>
      </c>
      <c r="I25" s="39">
        <f>ROUND((H25*$I$7),2)</f>
        <v>95.12</v>
      </c>
      <c r="J25" s="2"/>
    </row>
    <row r="26" spans="1:12" ht="27.6">
      <c r="A26" s="33" t="s">
        <v>49</v>
      </c>
      <c r="B26" s="34" t="s">
        <v>50</v>
      </c>
      <c r="C26" s="35" t="s">
        <v>51</v>
      </c>
      <c r="D26" s="34" t="s">
        <v>21</v>
      </c>
      <c r="E26" s="36">
        <f>'MC ORÇ BASE'!H81</f>
        <v>75.599999999999994</v>
      </c>
      <c r="F26" s="37">
        <f t="shared" si="7"/>
        <v>42.18</v>
      </c>
      <c r="G26" s="37">
        <f t="shared" ref="G26:G32" si="8">ROUND(F26*E26,2)</f>
        <v>3188.81</v>
      </c>
      <c r="H26" s="38">
        <v>35.57</v>
      </c>
      <c r="I26" s="39">
        <f>ROUND((H26*$I$7),2)</f>
        <v>42.18</v>
      </c>
      <c r="J26" s="2"/>
    </row>
    <row r="27" spans="1:12" ht="41.4">
      <c r="A27" s="33" t="s">
        <v>52</v>
      </c>
      <c r="B27" s="56" t="s">
        <v>41</v>
      </c>
      <c r="C27" s="35" t="s">
        <v>42</v>
      </c>
      <c r="D27" s="34" t="s">
        <v>35</v>
      </c>
      <c r="E27" s="57">
        <f>'MC ORÇ BASE'!H96</f>
        <v>15.010000000000002</v>
      </c>
      <c r="F27" s="58">
        <f t="shared" si="7"/>
        <v>2964.8</v>
      </c>
      <c r="G27" s="58">
        <f t="shared" si="8"/>
        <v>44501.65</v>
      </c>
      <c r="H27" s="39">
        <f>COMPOSIÇÕES!H15</f>
        <v>2500.25</v>
      </c>
      <c r="I27" s="39">
        <f>ROUND((H27*$I$7),2)</f>
        <v>2964.8</v>
      </c>
      <c r="J27" s="2"/>
    </row>
    <row r="28" spans="1:12" ht="41.4">
      <c r="A28" s="33" t="s">
        <v>53</v>
      </c>
      <c r="B28" s="40" t="s">
        <v>39</v>
      </c>
      <c r="C28" s="35" t="s">
        <v>40</v>
      </c>
      <c r="D28" s="55" t="s">
        <v>21</v>
      </c>
      <c r="E28" s="36">
        <f>'MC ORÇ BASE'!H107</f>
        <v>166.93</v>
      </c>
      <c r="F28" s="37">
        <f t="shared" si="7"/>
        <v>89.03</v>
      </c>
      <c r="G28" s="37">
        <f t="shared" si="8"/>
        <v>14861.78</v>
      </c>
      <c r="H28" s="38">
        <v>75.08</v>
      </c>
      <c r="I28" s="39">
        <f>ROUND((H28*$I$7),2)</f>
        <v>89.03</v>
      </c>
      <c r="J28" s="2"/>
    </row>
    <row r="29" spans="1:12" ht="41.4">
      <c r="A29" s="33" t="s">
        <v>54</v>
      </c>
      <c r="B29" s="40" t="s">
        <v>55</v>
      </c>
      <c r="C29" s="35" t="s">
        <v>56</v>
      </c>
      <c r="D29" s="40" t="s">
        <v>21</v>
      </c>
      <c r="E29" s="36">
        <f>'MC ORÇ BASE'!H121</f>
        <v>370.73</v>
      </c>
      <c r="F29" s="58">
        <f t="shared" si="7"/>
        <v>5.0199999999999996</v>
      </c>
      <c r="G29" s="58">
        <f t="shared" si="8"/>
        <v>1861.06</v>
      </c>
      <c r="H29" s="38">
        <v>4.2300000000000004</v>
      </c>
      <c r="I29" s="39">
        <f t="shared" ref="I29:I66" si="9">ROUND((H29*$I$7),2)</f>
        <v>5.0199999999999996</v>
      </c>
      <c r="J29" s="2"/>
    </row>
    <row r="30" spans="1:12" ht="41.4">
      <c r="A30" s="33" t="s">
        <v>57</v>
      </c>
      <c r="B30" s="40" t="s">
        <v>58</v>
      </c>
      <c r="C30" s="35" t="s">
        <v>59</v>
      </c>
      <c r="D30" s="40" t="s">
        <v>21</v>
      </c>
      <c r="E30" s="36">
        <f>'MC ORÇ BASE'!H136</f>
        <v>392.57</v>
      </c>
      <c r="F30" s="58">
        <f t="shared" si="7"/>
        <v>43.96</v>
      </c>
      <c r="G30" s="58">
        <f t="shared" si="8"/>
        <v>17257.38</v>
      </c>
      <c r="H30" s="38">
        <v>37.07</v>
      </c>
      <c r="I30" s="39">
        <f t="shared" si="9"/>
        <v>43.96</v>
      </c>
      <c r="J30" s="2"/>
    </row>
    <row r="31" spans="1:12">
      <c r="A31" s="33" t="s">
        <v>60</v>
      </c>
      <c r="B31" s="34" t="s">
        <v>61</v>
      </c>
      <c r="C31" s="35" t="s">
        <v>62</v>
      </c>
      <c r="D31" s="34" t="s">
        <v>35</v>
      </c>
      <c r="E31" s="36">
        <f>'MC ORÇ BASE'!H142</f>
        <v>111.16</v>
      </c>
      <c r="F31" s="58">
        <f t="shared" si="7"/>
        <v>90.44</v>
      </c>
      <c r="G31" s="58">
        <f t="shared" si="8"/>
        <v>10053.31</v>
      </c>
      <c r="H31" s="38">
        <v>76.27</v>
      </c>
      <c r="I31" s="39">
        <f t="shared" si="9"/>
        <v>90.44</v>
      </c>
      <c r="J31" s="2"/>
    </row>
    <row r="32" spans="1:12" ht="41.4">
      <c r="A32" s="33" t="s">
        <v>63</v>
      </c>
      <c r="B32" s="34" t="s">
        <v>64</v>
      </c>
      <c r="C32" s="35" t="s">
        <v>65</v>
      </c>
      <c r="D32" s="34" t="s">
        <v>35</v>
      </c>
      <c r="E32" s="36">
        <f>'MC ORÇ BASE'!H146</f>
        <v>1.65</v>
      </c>
      <c r="F32" s="58">
        <f t="shared" si="7"/>
        <v>895.07</v>
      </c>
      <c r="G32" s="58">
        <f t="shared" si="8"/>
        <v>1476.87</v>
      </c>
      <c r="H32" s="38">
        <v>754.82</v>
      </c>
      <c r="I32" s="39">
        <f t="shared" si="9"/>
        <v>895.07</v>
      </c>
      <c r="J32" s="2"/>
    </row>
    <row r="33" spans="1:12" s="47" customFormat="1" ht="12.75" customHeight="1">
      <c r="A33" s="43"/>
      <c r="B33" s="43"/>
      <c r="C33" s="44" t="s">
        <v>66</v>
      </c>
      <c r="D33" s="43"/>
      <c r="E33" s="43"/>
      <c r="F33" s="43"/>
      <c r="G33" s="45">
        <f>SUM(G25:G32)</f>
        <v>96861.08</v>
      </c>
      <c r="H33" s="38"/>
      <c r="I33" s="39">
        <f t="shared" si="9"/>
        <v>0</v>
      </c>
      <c r="J33" s="2"/>
      <c r="K33" s="3"/>
      <c r="L33" s="3"/>
    </row>
    <row r="34" spans="1:12">
      <c r="A34" s="59"/>
      <c r="B34" s="60"/>
      <c r="C34" s="61"/>
      <c r="D34" s="62"/>
      <c r="E34" s="63"/>
      <c r="F34" s="64"/>
      <c r="G34" s="65"/>
      <c r="H34" s="38"/>
      <c r="I34" s="39">
        <f t="shared" si="9"/>
        <v>0</v>
      </c>
      <c r="J34" s="2"/>
    </row>
    <row r="35" spans="1:12">
      <c r="A35" s="25" t="s">
        <v>67</v>
      </c>
      <c r="B35" s="26"/>
      <c r="C35" s="27" t="s">
        <v>68</v>
      </c>
      <c r="D35" s="28"/>
      <c r="E35" s="29"/>
      <c r="F35" s="30"/>
      <c r="G35" s="31"/>
      <c r="H35" s="32"/>
      <c r="I35" s="39">
        <f t="shared" si="9"/>
        <v>0</v>
      </c>
      <c r="J35" s="2"/>
    </row>
    <row r="36" spans="1:12" ht="55.2">
      <c r="A36" s="33" t="s">
        <v>69</v>
      </c>
      <c r="B36" s="67" t="s">
        <v>70</v>
      </c>
      <c r="C36" s="35" t="s">
        <v>71</v>
      </c>
      <c r="D36" s="40" t="s">
        <v>21</v>
      </c>
      <c r="E36" s="36">
        <f>'MC ORÇ BASE'!H155</f>
        <v>211.35</v>
      </c>
      <c r="F36" s="37">
        <f>I36</f>
        <v>204.38</v>
      </c>
      <c r="G36" s="37">
        <f>ROUND(F36*E36,2)</f>
        <v>43195.71</v>
      </c>
      <c r="H36" s="38">
        <v>172.36</v>
      </c>
      <c r="I36" s="39">
        <f t="shared" si="9"/>
        <v>204.38</v>
      </c>
      <c r="J36" s="2"/>
    </row>
    <row r="37" spans="1:12" s="47" customFormat="1" ht="12.75" customHeight="1">
      <c r="A37" s="43"/>
      <c r="B37" s="43"/>
      <c r="C37" s="44" t="s">
        <v>72</v>
      </c>
      <c r="D37" s="43"/>
      <c r="E37" s="43"/>
      <c r="F37" s="43"/>
      <c r="G37" s="45">
        <f>SUM(G36:G36)</f>
        <v>43195.71</v>
      </c>
      <c r="H37" s="38"/>
      <c r="I37" s="39">
        <f t="shared" si="9"/>
        <v>0</v>
      </c>
      <c r="J37" s="2"/>
      <c r="K37" s="3"/>
      <c r="L37" s="3"/>
    </row>
    <row r="38" spans="1:12">
      <c r="A38" s="59"/>
      <c r="B38" s="60"/>
      <c r="C38" s="61"/>
      <c r="D38" s="62"/>
      <c r="E38" s="63"/>
      <c r="F38" s="64"/>
      <c r="G38" s="65"/>
      <c r="H38" s="38"/>
      <c r="I38" s="39">
        <f t="shared" si="9"/>
        <v>0</v>
      </c>
      <c r="J38" s="2"/>
    </row>
    <row r="39" spans="1:12">
      <c r="A39" s="25" t="s">
        <v>73</v>
      </c>
      <c r="B39" s="26"/>
      <c r="C39" s="27" t="s">
        <v>74</v>
      </c>
      <c r="D39" s="28"/>
      <c r="E39" s="29"/>
      <c r="F39" s="30"/>
      <c r="G39" s="31"/>
      <c r="H39" s="32"/>
      <c r="I39" s="39">
        <f t="shared" si="9"/>
        <v>0</v>
      </c>
      <c r="J39" s="2"/>
    </row>
    <row r="40" spans="1:12" ht="27.6">
      <c r="A40" s="33" t="s">
        <v>75</v>
      </c>
      <c r="B40" s="40" t="s">
        <v>76</v>
      </c>
      <c r="C40" s="35" t="s">
        <v>77</v>
      </c>
      <c r="D40" s="40" t="s">
        <v>21</v>
      </c>
      <c r="E40" s="36">
        <f>'MC ORÇ BASE'!H160</f>
        <v>684.11</v>
      </c>
      <c r="F40" s="37">
        <f>I40</f>
        <v>2.59</v>
      </c>
      <c r="G40" s="37">
        <f>ROUND(F40*E40,2)</f>
        <v>1771.84</v>
      </c>
      <c r="H40" s="38">
        <v>2.1800000000000002</v>
      </c>
      <c r="I40" s="39">
        <f t="shared" si="9"/>
        <v>2.59</v>
      </c>
      <c r="J40" s="2"/>
    </row>
    <row r="41" spans="1:12" ht="27.6">
      <c r="A41" s="33" t="s">
        <v>78</v>
      </c>
      <c r="B41" s="68" t="s">
        <v>41</v>
      </c>
      <c r="C41" s="35" t="s">
        <v>79</v>
      </c>
      <c r="D41" s="40" t="s">
        <v>21</v>
      </c>
      <c r="E41" s="36">
        <f>'MC ORÇ BASE'!H164</f>
        <v>684.11</v>
      </c>
      <c r="F41" s="37">
        <f>I41</f>
        <v>17.7</v>
      </c>
      <c r="G41" s="37">
        <f>ROUND(F41*E41,2)</f>
        <v>12108.75</v>
      </c>
      <c r="H41" s="38">
        <f>COMPOSIÇÕES!H87</f>
        <v>14.930000000000001</v>
      </c>
      <c r="I41" s="39">
        <f t="shared" si="9"/>
        <v>17.7</v>
      </c>
      <c r="J41" s="2"/>
    </row>
    <row r="42" spans="1:12" ht="27.6">
      <c r="A42" s="33" t="s">
        <v>80</v>
      </c>
      <c r="B42" s="40" t="s">
        <v>81</v>
      </c>
      <c r="C42" s="35" t="s">
        <v>82</v>
      </c>
      <c r="D42" s="40" t="s">
        <v>21</v>
      </c>
      <c r="E42" s="36">
        <f>'MC ORÇ BASE'!H168</f>
        <v>684.11</v>
      </c>
      <c r="F42" s="37">
        <f>I42</f>
        <v>95.23</v>
      </c>
      <c r="G42" s="37">
        <f>ROUND(F42*E42,2)</f>
        <v>65147.8</v>
      </c>
      <c r="H42" s="38">
        <v>80.31</v>
      </c>
      <c r="I42" s="39">
        <f t="shared" si="9"/>
        <v>95.23</v>
      </c>
      <c r="J42" s="2"/>
    </row>
    <row r="43" spans="1:12" ht="41.4">
      <c r="A43" s="33" t="s">
        <v>83</v>
      </c>
      <c r="B43" s="34" t="s">
        <v>64</v>
      </c>
      <c r="C43" s="35" t="s">
        <v>65</v>
      </c>
      <c r="D43" s="34" t="s">
        <v>35</v>
      </c>
      <c r="E43" s="36">
        <f>'MC ORÇ BASE'!H174</f>
        <v>13.87</v>
      </c>
      <c r="F43" s="37">
        <f>I43</f>
        <v>895.07</v>
      </c>
      <c r="G43" s="37">
        <f>ROUND(F43*E43,2)</f>
        <v>12414.62</v>
      </c>
      <c r="H43" s="38">
        <v>754.82</v>
      </c>
      <c r="I43" s="39">
        <f t="shared" si="9"/>
        <v>895.07</v>
      </c>
      <c r="J43" s="2"/>
    </row>
    <row r="44" spans="1:12" s="47" customFormat="1" ht="12.75" customHeight="1">
      <c r="A44" s="43"/>
      <c r="B44" s="43"/>
      <c r="C44" s="44" t="s">
        <v>84</v>
      </c>
      <c r="D44" s="43"/>
      <c r="E44" s="43"/>
      <c r="F44" s="43"/>
      <c r="G44" s="45">
        <f>SUM(G40:G43)</f>
        <v>91443.01</v>
      </c>
      <c r="H44" s="46"/>
      <c r="I44" s="39">
        <f t="shared" si="9"/>
        <v>0</v>
      </c>
      <c r="J44" s="2"/>
      <c r="K44" s="3"/>
      <c r="L44" s="3"/>
    </row>
    <row r="45" spans="1:12">
      <c r="A45" s="69"/>
      <c r="B45" s="70"/>
      <c r="C45" s="71"/>
      <c r="D45" s="62"/>
      <c r="E45" s="72"/>
      <c r="F45" s="73"/>
      <c r="G45" s="53"/>
      <c r="H45" s="46"/>
      <c r="I45" s="39">
        <f t="shared" si="9"/>
        <v>0</v>
      </c>
      <c r="J45" s="2"/>
    </row>
    <row r="46" spans="1:12">
      <c r="A46" s="25" t="s">
        <v>85</v>
      </c>
      <c r="B46" s="26"/>
      <c r="C46" s="27" t="s">
        <v>86</v>
      </c>
      <c r="D46" s="28"/>
      <c r="E46" s="29"/>
      <c r="F46" s="30"/>
      <c r="G46" s="31"/>
      <c r="H46" s="32"/>
      <c r="I46" s="39">
        <f t="shared" si="9"/>
        <v>0</v>
      </c>
      <c r="J46" s="2"/>
    </row>
    <row r="47" spans="1:12" ht="41.4">
      <c r="A47" s="33" t="s">
        <v>87</v>
      </c>
      <c r="B47" s="74" t="s">
        <v>41</v>
      </c>
      <c r="C47" s="75" t="s">
        <v>88</v>
      </c>
      <c r="D47" s="40" t="s">
        <v>89</v>
      </c>
      <c r="E47" s="36">
        <f>'MC ORÇ BASE'!H179</f>
        <v>1</v>
      </c>
      <c r="F47" s="37">
        <f t="shared" ref="F47:F58" si="10">I47</f>
        <v>1894.52</v>
      </c>
      <c r="G47" s="37">
        <f t="shared" ref="G47:G58" si="11">ROUND(F47*E47,2)</f>
        <v>1894.52</v>
      </c>
      <c r="H47" s="38">
        <f>COMPOSIÇÕES!H121</f>
        <v>1597.67</v>
      </c>
      <c r="I47" s="39">
        <f t="shared" si="9"/>
        <v>1894.52</v>
      </c>
      <c r="J47" s="2"/>
    </row>
    <row r="48" spans="1:12" ht="41.4">
      <c r="A48" s="33" t="s">
        <v>90</v>
      </c>
      <c r="B48" s="40" t="s">
        <v>91</v>
      </c>
      <c r="C48" s="35" t="s">
        <v>92</v>
      </c>
      <c r="D48" s="40" t="s">
        <v>28</v>
      </c>
      <c r="E48" s="36">
        <f>'MC ORÇ BASE'!H183</f>
        <v>90.199999999999989</v>
      </c>
      <c r="F48" s="37">
        <f t="shared" si="10"/>
        <v>21.17</v>
      </c>
      <c r="G48" s="37">
        <f t="shared" si="11"/>
        <v>1909.53</v>
      </c>
      <c r="H48" s="38">
        <v>17.850000000000001</v>
      </c>
      <c r="I48" s="39">
        <f t="shared" si="9"/>
        <v>21.17</v>
      </c>
      <c r="J48" s="2"/>
    </row>
    <row r="49" spans="1:12" s="47" customFormat="1" ht="27.6">
      <c r="A49" s="33" t="s">
        <v>93</v>
      </c>
      <c r="B49" s="40" t="s">
        <v>94</v>
      </c>
      <c r="C49" s="35" t="s">
        <v>95</v>
      </c>
      <c r="D49" s="40" t="s">
        <v>28</v>
      </c>
      <c r="E49" s="36">
        <f>'MC ORÇ BASE'!H188</f>
        <v>240.4</v>
      </c>
      <c r="F49" s="37">
        <f t="shared" si="10"/>
        <v>6.89</v>
      </c>
      <c r="G49" s="37">
        <f t="shared" si="11"/>
        <v>1656.36</v>
      </c>
      <c r="H49" s="38">
        <v>5.81</v>
      </c>
      <c r="I49" s="39">
        <f t="shared" si="9"/>
        <v>6.89</v>
      </c>
      <c r="J49" s="2"/>
      <c r="K49" s="3"/>
      <c r="L49" s="3"/>
    </row>
    <row r="50" spans="1:12" s="47" customFormat="1" ht="41.4">
      <c r="A50" s="33" t="s">
        <v>96</v>
      </c>
      <c r="B50" s="67" t="s">
        <v>97</v>
      </c>
      <c r="C50" s="35" t="s">
        <v>98</v>
      </c>
      <c r="D50" s="40" t="s">
        <v>89</v>
      </c>
      <c r="E50" s="36">
        <f>'MC ORÇ BASE'!H192</f>
        <v>4</v>
      </c>
      <c r="F50" s="37">
        <f t="shared" si="10"/>
        <v>178.82</v>
      </c>
      <c r="G50" s="37">
        <f t="shared" si="11"/>
        <v>715.28</v>
      </c>
      <c r="H50" s="38">
        <v>150.80000000000001</v>
      </c>
      <c r="I50" s="39">
        <f t="shared" si="9"/>
        <v>178.82</v>
      </c>
      <c r="J50" s="2"/>
      <c r="K50" s="3"/>
      <c r="L50" s="3"/>
    </row>
    <row r="51" spans="1:12" s="47" customFormat="1" ht="27.6">
      <c r="A51" s="33" t="s">
        <v>99</v>
      </c>
      <c r="B51" s="67" t="s">
        <v>100</v>
      </c>
      <c r="C51" s="35" t="s">
        <v>101</v>
      </c>
      <c r="D51" s="40" t="s">
        <v>89</v>
      </c>
      <c r="E51" s="36">
        <f>'MC ORÇ BASE'!H196</f>
        <v>4</v>
      </c>
      <c r="F51" s="37">
        <f t="shared" si="10"/>
        <v>149.97999999999999</v>
      </c>
      <c r="G51" s="37">
        <f t="shared" si="11"/>
        <v>599.91999999999996</v>
      </c>
      <c r="H51" s="38">
        <v>126.48</v>
      </c>
      <c r="I51" s="39">
        <f t="shared" si="9"/>
        <v>149.97999999999999</v>
      </c>
      <c r="J51" s="2"/>
      <c r="K51" s="3"/>
      <c r="L51" s="3"/>
    </row>
    <row r="52" spans="1:12" s="47" customFormat="1" ht="27.6">
      <c r="A52" s="33" t="s">
        <v>102</v>
      </c>
      <c r="B52" s="34" t="s">
        <v>33</v>
      </c>
      <c r="C52" s="35" t="s">
        <v>34</v>
      </c>
      <c r="D52" s="34" t="s">
        <v>35</v>
      </c>
      <c r="E52" s="66">
        <f>'MC ORÇ BASE'!H200</f>
        <v>0.13</v>
      </c>
      <c r="F52" s="37">
        <f>I52</f>
        <v>95.12</v>
      </c>
      <c r="G52" s="37">
        <f>ROUND(F52*E52,2)</f>
        <v>12.37</v>
      </c>
      <c r="H52" s="54">
        <v>80.22</v>
      </c>
      <c r="I52" s="39">
        <f t="shared" si="9"/>
        <v>95.12</v>
      </c>
      <c r="J52" s="2"/>
      <c r="K52" s="3"/>
      <c r="L52" s="3"/>
    </row>
    <row r="53" spans="1:12" s="47" customFormat="1" ht="41.4">
      <c r="A53" s="33" t="s">
        <v>103</v>
      </c>
      <c r="B53" s="56" t="s">
        <v>41</v>
      </c>
      <c r="C53" s="35" t="s">
        <v>42</v>
      </c>
      <c r="D53" s="34" t="s">
        <v>35</v>
      </c>
      <c r="E53" s="57">
        <f>'MC ORÇ BASE'!H204</f>
        <v>0.13</v>
      </c>
      <c r="F53" s="58">
        <f>I53</f>
        <v>2964.8</v>
      </c>
      <c r="G53" s="58">
        <f>ROUND(F53*E53,2)</f>
        <v>385.42</v>
      </c>
      <c r="H53" s="39">
        <f>COMPOSIÇÕES!H15</f>
        <v>2500.25</v>
      </c>
      <c r="I53" s="39">
        <f t="shared" si="9"/>
        <v>2964.8</v>
      </c>
      <c r="J53" s="2"/>
      <c r="K53" s="3"/>
      <c r="L53" s="3"/>
    </row>
    <row r="54" spans="1:12" s="47" customFormat="1" ht="27.6">
      <c r="A54" s="33" t="s">
        <v>104</v>
      </c>
      <c r="B54" s="67" t="s">
        <v>105</v>
      </c>
      <c r="C54" s="35" t="s">
        <v>106</v>
      </c>
      <c r="D54" s="40" t="s">
        <v>89</v>
      </c>
      <c r="E54" s="36">
        <f>'MC ORÇ BASE'!H208</f>
        <v>4</v>
      </c>
      <c r="F54" s="37">
        <f t="shared" si="10"/>
        <v>1772.17</v>
      </c>
      <c r="G54" s="37">
        <f t="shared" si="11"/>
        <v>7088.68</v>
      </c>
      <c r="H54" s="38">
        <v>1494.49</v>
      </c>
      <c r="I54" s="39">
        <f>ROUND((H54*$I$7),2)</f>
        <v>1772.17</v>
      </c>
      <c r="J54" s="2"/>
      <c r="K54" s="3"/>
      <c r="L54" s="3"/>
    </row>
    <row r="55" spans="1:12" s="47" customFormat="1" ht="27.6">
      <c r="A55" s="33" t="s">
        <v>107</v>
      </c>
      <c r="B55" s="67" t="s">
        <v>108</v>
      </c>
      <c r="C55" s="35" t="s">
        <v>109</v>
      </c>
      <c r="D55" s="40" t="s">
        <v>89</v>
      </c>
      <c r="E55" s="36">
        <f>'MC ORÇ BASE'!H212</f>
        <v>1</v>
      </c>
      <c r="F55" s="37">
        <f t="shared" si="10"/>
        <v>1398.51</v>
      </c>
      <c r="G55" s="37">
        <f t="shared" si="11"/>
        <v>1398.51</v>
      </c>
      <c r="H55" s="38">
        <v>1179.3800000000001</v>
      </c>
      <c r="I55" s="39">
        <f t="shared" si="9"/>
        <v>1398.51</v>
      </c>
      <c r="J55" s="2"/>
      <c r="K55" s="3"/>
      <c r="L55" s="3"/>
    </row>
    <row r="56" spans="1:12" s="47" customFormat="1" ht="41.4">
      <c r="A56" s="33" t="s">
        <v>110</v>
      </c>
      <c r="B56" s="67" t="s">
        <v>111</v>
      </c>
      <c r="C56" s="35" t="s">
        <v>112</v>
      </c>
      <c r="D56" s="40" t="s">
        <v>89</v>
      </c>
      <c r="E56" s="36">
        <f>'MC ORÇ BASE'!H216</f>
        <v>1</v>
      </c>
      <c r="F56" s="37">
        <f t="shared" si="10"/>
        <v>89.53</v>
      </c>
      <c r="G56" s="37">
        <f t="shared" si="11"/>
        <v>89.53</v>
      </c>
      <c r="H56" s="38">
        <v>75.5</v>
      </c>
      <c r="I56" s="39">
        <f t="shared" si="9"/>
        <v>89.53</v>
      </c>
      <c r="J56" s="2"/>
      <c r="K56" s="3"/>
      <c r="L56" s="3"/>
    </row>
    <row r="57" spans="1:12" s="47" customFormat="1" ht="27.6">
      <c r="A57" s="33" t="s">
        <v>113</v>
      </c>
      <c r="B57" s="67" t="s">
        <v>114</v>
      </c>
      <c r="C57" s="35" t="s">
        <v>115</v>
      </c>
      <c r="D57" s="40" t="s">
        <v>89</v>
      </c>
      <c r="E57" s="36">
        <f>'MC ORÇ BASE'!H220</f>
        <v>2</v>
      </c>
      <c r="F57" s="37">
        <f t="shared" si="10"/>
        <v>23.48</v>
      </c>
      <c r="G57" s="37">
        <f t="shared" si="11"/>
        <v>46.96</v>
      </c>
      <c r="H57" s="38">
        <v>19.8</v>
      </c>
      <c r="I57" s="39">
        <f t="shared" si="9"/>
        <v>23.48</v>
      </c>
      <c r="J57" s="2"/>
      <c r="K57" s="3"/>
      <c r="L57" s="3"/>
    </row>
    <row r="58" spans="1:12" s="47" customFormat="1">
      <c r="A58" s="33" t="s">
        <v>116</v>
      </c>
      <c r="B58" s="67" t="s">
        <v>41</v>
      </c>
      <c r="C58" s="35" t="s">
        <v>117</v>
      </c>
      <c r="D58" s="40" t="s">
        <v>89</v>
      </c>
      <c r="E58" s="36">
        <f>'MC ORÇ BASE'!H224</f>
        <v>8</v>
      </c>
      <c r="F58" s="37">
        <f t="shared" si="10"/>
        <v>397.84</v>
      </c>
      <c r="G58" s="37">
        <f t="shared" si="11"/>
        <v>3182.72</v>
      </c>
      <c r="H58" s="38">
        <f>COMPOSIÇÕES!H138</f>
        <v>335.5</v>
      </c>
      <c r="I58" s="39">
        <f t="shared" si="9"/>
        <v>397.84</v>
      </c>
      <c r="J58" s="2"/>
      <c r="K58" s="3"/>
      <c r="L58" s="3"/>
    </row>
    <row r="59" spans="1:12" s="47" customFormat="1" ht="12.75" customHeight="1">
      <c r="A59" s="43"/>
      <c r="B59" s="43"/>
      <c r="C59" s="44" t="s">
        <v>118</v>
      </c>
      <c r="D59" s="43"/>
      <c r="E59" s="43"/>
      <c r="F59" s="43"/>
      <c r="G59" s="45">
        <f>SUM(G47:G58)</f>
        <v>18979.8</v>
      </c>
      <c r="H59" s="46"/>
      <c r="I59" s="39">
        <f t="shared" si="9"/>
        <v>0</v>
      </c>
      <c r="J59" s="2"/>
      <c r="K59" s="3"/>
      <c r="L59" s="3"/>
    </row>
    <row r="60" spans="1:12">
      <c r="A60" s="76"/>
      <c r="B60" s="41"/>
      <c r="C60" s="77"/>
      <c r="D60" s="55"/>
      <c r="E60" s="78"/>
      <c r="F60" s="73"/>
      <c r="G60" s="45"/>
      <c r="H60" s="46"/>
      <c r="I60" s="39">
        <f t="shared" si="9"/>
        <v>0</v>
      </c>
      <c r="J60" s="2"/>
    </row>
    <row r="61" spans="1:12">
      <c r="A61" s="25" t="s">
        <v>119</v>
      </c>
      <c r="B61" s="26"/>
      <c r="C61" s="27" t="s">
        <v>120</v>
      </c>
      <c r="D61" s="28"/>
      <c r="E61" s="29"/>
      <c r="F61" s="30"/>
      <c r="G61" s="31"/>
      <c r="H61" s="32"/>
      <c r="I61" s="39">
        <f t="shared" si="9"/>
        <v>0</v>
      </c>
      <c r="J61" s="2"/>
    </row>
    <row r="62" spans="1:12" ht="27.6">
      <c r="A62" s="33" t="s">
        <v>121</v>
      </c>
      <c r="B62" s="34" t="s">
        <v>122</v>
      </c>
      <c r="C62" s="35" t="s">
        <v>123</v>
      </c>
      <c r="D62" s="34" t="s">
        <v>21</v>
      </c>
      <c r="E62" s="36">
        <f>'MC ORÇ BASE'!H240</f>
        <v>392.57</v>
      </c>
      <c r="F62" s="37">
        <f>I62</f>
        <v>4.96</v>
      </c>
      <c r="G62" s="37">
        <f>ROUND(F62*E62,2)</f>
        <v>1947.15</v>
      </c>
      <c r="H62" s="38">
        <v>4.18</v>
      </c>
      <c r="I62" s="39">
        <f t="shared" si="9"/>
        <v>4.96</v>
      </c>
      <c r="J62" s="2"/>
    </row>
    <row r="63" spans="1:12" ht="27.6">
      <c r="A63" s="33" t="s">
        <v>124</v>
      </c>
      <c r="B63" s="34" t="s">
        <v>125</v>
      </c>
      <c r="C63" s="35" t="s">
        <v>126</v>
      </c>
      <c r="D63" s="34" t="s">
        <v>21</v>
      </c>
      <c r="E63" s="36">
        <f>'MC ORÇ BASE'!H255</f>
        <v>392.57</v>
      </c>
      <c r="F63" s="37">
        <f>I63</f>
        <v>15.59</v>
      </c>
      <c r="G63" s="37">
        <f>ROUND(F63*E63,2)</f>
        <v>6120.17</v>
      </c>
      <c r="H63" s="38">
        <v>13.15</v>
      </c>
      <c r="I63" s="39">
        <f t="shared" si="9"/>
        <v>15.59</v>
      </c>
      <c r="J63" s="2"/>
    </row>
    <row r="64" spans="1:12" ht="27.6">
      <c r="A64" s="33" t="s">
        <v>127</v>
      </c>
      <c r="B64" s="40" t="s">
        <v>128</v>
      </c>
      <c r="C64" s="35" t="s">
        <v>129</v>
      </c>
      <c r="D64" s="40" t="s">
        <v>21</v>
      </c>
      <c r="E64" s="36">
        <f>'MC ORÇ BASE'!H259</f>
        <v>684.11</v>
      </c>
      <c r="F64" s="37">
        <f>I64</f>
        <v>25.25</v>
      </c>
      <c r="G64" s="37">
        <f>ROUND(F64*E64,2)</f>
        <v>17273.78</v>
      </c>
      <c r="H64" s="38">
        <v>21.29</v>
      </c>
      <c r="I64" s="39">
        <f t="shared" si="9"/>
        <v>25.25</v>
      </c>
      <c r="J64" s="2"/>
    </row>
    <row r="65" spans="1:12" ht="27.6">
      <c r="A65" s="33" t="s">
        <v>130</v>
      </c>
      <c r="B65" s="40" t="s">
        <v>131</v>
      </c>
      <c r="C65" s="35" t="s">
        <v>132</v>
      </c>
      <c r="D65" s="40" t="s">
        <v>28</v>
      </c>
      <c r="E65" s="36">
        <f>'MC ORÇ BASE'!H275</f>
        <v>315.08927999999997</v>
      </c>
      <c r="F65" s="37">
        <f>I65</f>
        <v>11.04</v>
      </c>
      <c r="G65" s="37">
        <f>ROUND(F65*E65,2)</f>
        <v>3478.59</v>
      </c>
      <c r="H65" s="38">
        <v>9.31</v>
      </c>
      <c r="I65" s="39">
        <f t="shared" si="9"/>
        <v>11.04</v>
      </c>
      <c r="J65" s="2"/>
    </row>
    <row r="66" spans="1:12" s="47" customFormat="1" ht="41.4">
      <c r="A66" s="33" t="s">
        <v>133</v>
      </c>
      <c r="B66" s="40" t="s">
        <v>134</v>
      </c>
      <c r="C66" s="75" t="s">
        <v>135</v>
      </c>
      <c r="D66" s="40" t="s">
        <v>21</v>
      </c>
      <c r="E66" s="36">
        <f>'MC ORÇ BASE'!H285</f>
        <v>84.54</v>
      </c>
      <c r="F66" s="37">
        <f>I66</f>
        <v>13.7</v>
      </c>
      <c r="G66" s="37">
        <f>ROUND(F66*E66,2)</f>
        <v>1158.2</v>
      </c>
      <c r="H66" s="38">
        <v>11.55</v>
      </c>
      <c r="I66" s="39">
        <f t="shared" si="9"/>
        <v>13.7</v>
      </c>
      <c r="J66" s="2"/>
      <c r="K66" s="3"/>
      <c r="L66" s="3"/>
    </row>
    <row r="67" spans="1:12" s="47" customFormat="1" ht="12.75" customHeight="1">
      <c r="A67" s="43"/>
      <c r="B67" s="43"/>
      <c r="C67" s="44" t="s">
        <v>136</v>
      </c>
      <c r="D67" s="43"/>
      <c r="E67" s="43"/>
      <c r="F67" s="43"/>
      <c r="G67" s="45">
        <f>SUM(G62:G66)</f>
        <v>29977.89</v>
      </c>
      <c r="H67" s="46"/>
      <c r="I67" s="39">
        <f>ROUND((H67*$I$7),2)</f>
        <v>0</v>
      </c>
      <c r="J67" s="2"/>
      <c r="K67" s="3"/>
      <c r="L67" s="3"/>
    </row>
    <row r="68" spans="1:12" s="47" customFormat="1">
      <c r="A68" s="76"/>
      <c r="B68" s="41"/>
      <c r="C68" s="35"/>
      <c r="D68" s="55"/>
      <c r="E68" s="78"/>
      <c r="F68" s="73"/>
      <c r="G68" s="53"/>
      <c r="H68" s="39"/>
      <c r="I68" s="39">
        <f>ROUND((H68*$I$7),2)</f>
        <v>0</v>
      </c>
      <c r="J68" s="2"/>
      <c r="K68" s="3"/>
      <c r="L68" s="3"/>
    </row>
    <row r="69" spans="1:12" s="47" customFormat="1">
      <c r="A69" s="25" t="s">
        <v>137</v>
      </c>
      <c r="B69" s="26"/>
      <c r="C69" s="27" t="s">
        <v>138</v>
      </c>
      <c r="D69" s="28"/>
      <c r="E69" s="29"/>
      <c r="F69" s="30"/>
      <c r="G69" s="31"/>
      <c r="H69" s="32"/>
      <c r="I69" s="32"/>
      <c r="J69" s="2"/>
      <c r="K69" s="3"/>
      <c r="L69" s="3"/>
    </row>
    <row r="70" spans="1:12" s="47" customFormat="1" ht="55.2">
      <c r="A70" s="33" t="s">
        <v>139</v>
      </c>
      <c r="B70" s="40" t="s">
        <v>140</v>
      </c>
      <c r="C70" s="75" t="s">
        <v>141</v>
      </c>
      <c r="D70" s="40" t="s">
        <v>89</v>
      </c>
      <c r="E70" s="36">
        <f>'MC ORÇ BASE'!H290</f>
        <v>1</v>
      </c>
      <c r="F70" s="37">
        <f>I70</f>
        <v>5383.02</v>
      </c>
      <c r="G70" s="37">
        <f>ROUND(F70*E70,2)</f>
        <v>5383.02</v>
      </c>
      <c r="H70" s="38">
        <v>4539.57</v>
      </c>
      <c r="I70" s="39">
        <f>ROUND((H70*$I$7),2)</f>
        <v>5383.02</v>
      </c>
      <c r="J70" s="2"/>
      <c r="K70" s="3"/>
      <c r="L70" s="3"/>
    </row>
    <row r="71" spans="1:12" s="47" customFormat="1" ht="55.2">
      <c r="A71" s="33" t="s">
        <v>142</v>
      </c>
      <c r="B71" s="40" t="s">
        <v>143</v>
      </c>
      <c r="C71" s="35" t="s">
        <v>144</v>
      </c>
      <c r="D71" s="40" t="s">
        <v>89</v>
      </c>
      <c r="E71" s="36">
        <f>'MC ORÇ BASE'!H294</f>
        <v>1</v>
      </c>
      <c r="F71" s="37">
        <f>I71</f>
        <v>3267.97</v>
      </c>
      <c r="G71" s="37">
        <f>ROUND(F71*E71,2)</f>
        <v>3267.97</v>
      </c>
      <c r="H71" s="38">
        <v>2755.92</v>
      </c>
      <c r="I71" s="39">
        <f>ROUND((H71*$I$7),2)</f>
        <v>3267.97</v>
      </c>
      <c r="J71" s="2"/>
      <c r="K71" s="3"/>
      <c r="L71" s="3"/>
    </row>
    <row r="72" spans="1:12" s="47" customFormat="1" ht="41.4">
      <c r="A72" s="33" t="s">
        <v>145</v>
      </c>
      <c r="B72" s="41" t="s">
        <v>146</v>
      </c>
      <c r="C72" s="75" t="s">
        <v>147</v>
      </c>
      <c r="D72" s="40" t="s">
        <v>89</v>
      </c>
      <c r="E72" s="42">
        <f>'MC ORÇ BASE'!H298</f>
        <v>1</v>
      </c>
      <c r="F72" s="37">
        <f>I72</f>
        <v>3588.36</v>
      </c>
      <c r="G72" s="37">
        <f>ROUND(F72*E72,2)</f>
        <v>3588.36</v>
      </c>
      <c r="H72" s="38">
        <v>3026.11</v>
      </c>
      <c r="I72" s="39">
        <f>ROUND((H72*$I$7),2)</f>
        <v>3588.36</v>
      </c>
      <c r="J72" s="2"/>
      <c r="K72" s="3"/>
      <c r="L72" s="3"/>
    </row>
    <row r="73" spans="1:12" s="47" customFormat="1">
      <c r="A73" s="43"/>
      <c r="B73" s="43"/>
      <c r="C73" s="44" t="s">
        <v>148</v>
      </c>
      <c r="D73" s="43"/>
      <c r="E73" s="43"/>
      <c r="F73" s="43"/>
      <c r="G73" s="45">
        <f>SUM(G70:G72)</f>
        <v>12239.35</v>
      </c>
      <c r="H73" s="46"/>
      <c r="I73" s="39">
        <f>ROUND((H73*$I$7),2)</f>
        <v>0</v>
      </c>
      <c r="J73" s="2"/>
      <c r="K73" s="3"/>
      <c r="L73" s="3"/>
    </row>
    <row r="74" spans="1:12" s="47" customFormat="1">
      <c r="A74" s="76"/>
      <c r="B74" s="41"/>
      <c r="C74" s="35"/>
      <c r="D74" s="55"/>
      <c r="E74" s="78"/>
      <c r="F74" s="73"/>
      <c r="G74" s="53"/>
      <c r="H74" s="79"/>
      <c r="I74" s="79"/>
      <c r="J74" s="2"/>
      <c r="K74" s="3"/>
      <c r="L74" s="3"/>
    </row>
    <row r="75" spans="1:12" s="83" customFormat="1">
      <c r="A75" s="26"/>
      <c r="B75" s="26"/>
      <c r="C75" s="26" t="s">
        <v>149</v>
      </c>
      <c r="D75" s="80"/>
      <c r="E75" s="81"/>
      <c r="F75" s="82"/>
      <c r="G75" s="300">
        <f>G13+G22+G33+G37+G44+G59+G67+G73</f>
        <v>376916.30999999994</v>
      </c>
      <c r="H75" s="12"/>
      <c r="I75" s="12"/>
      <c r="J75" s="13"/>
      <c r="K75" s="13"/>
      <c r="L75" s="13"/>
    </row>
    <row r="76" spans="1:12" s="83" customFormat="1">
      <c r="A76" s="44"/>
      <c r="B76" s="44"/>
      <c r="C76" s="84"/>
      <c r="D76" s="62"/>
      <c r="E76" s="85"/>
      <c r="F76" s="86"/>
      <c r="G76" s="87"/>
      <c r="H76" s="12"/>
      <c r="I76" s="12"/>
      <c r="J76" s="13"/>
      <c r="K76" s="13"/>
      <c r="L76" s="13"/>
    </row>
    <row r="77" spans="1:12" s="83" customFormat="1">
      <c r="A77" s="322" t="s">
        <v>150</v>
      </c>
      <c r="B77" s="323"/>
      <c r="C77" s="323"/>
      <c r="D77" s="323"/>
      <c r="E77" s="323"/>
      <c r="F77" s="323"/>
      <c r="G77" s="324"/>
      <c r="H77" s="12"/>
      <c r="I77" s="12"/>
      <c r="J77" s="13"/>
      <c r="K77" s="13"/>
      <c r="L77" s="13"/>
    </row>
    <row r="78" spans="1:12" s="83" customFormat="1">
      <c r="A78" s="322" t="s">
        <v>151</v>
      </c>
      <c r="B78" s="323"/>
      <c r="C78" s="323"/>
      <c r="D78" s="323"/>
      <c r="E78" s="323"/>
      <c r="F78" s="323"/>
      <c r="G78" s="324"/>
      <c r="H78" s="12"/>
      <c r="I78" s="12"/>
      <c r="J78" s="13"/>
      <c r="K78" s="13"/>
      <c r="L78" s="13"/>
    </row>
    <row r="79" spans="1:12" s="83" customFormat="1">
      <c r="E79" s="88"/>
      <c r="H79" s="12"/>
      <c r="I79" s="12"/>
      <c r="J79" s="13"/>
      <c r="K79" s="13"/>
      <c r="L79" s="13"/>
    </row>
    <row r="80" spans="1:12" s="83" customFormat="1">
      <c r="E80" s="88"/>
      <c r="H80" s="12"/>
      <c r="I80" s="12"/>
      <c r="J80" s="13"/>
      <c r="K80" s="13"/>
      <c r="L80" s="13"/>
    </row>
    <row r="81" spans="1:12" s="83" customFormat="1" ht="14.4" customHeight="1">
      <c r="A81" s="318" t="s">
        <v>152</v>
      </c>
      <c r="B81" s="318"/>
      <c r="C81" s="318"/>
      <c r="D81" s="318"/>
      <c r="E81" s="318"/>
      <c r="F81" s="318"/>
      <c r="G81" s="318"/>
      <c r="H81" s="12"/>
      <c r="I81" s="12"/>
      <c r="J81" s="13"/>
      <c r="K81" s="13"/>
      <c r="L81" s="13"/>
    </row>
    <row r="82" spans="1:12" s="83" customFormat="1">
      <c r="C82" s="89"/>
      <c r="E82" s="88"/>
      <c r="H82" s="12"/>
      <c r="I82" s="12"/>
      <c r="J82" s="13"/>
      <c r="K82" s="13"/>
      <c r="L82" s="13"/>
    </row>
    <row r="83" spans="1:12" s="83" customFormat="1" ht="30" customHeight="1">
      <c r="A83" s="318" t="s">
        <v>153</v>
      </c>
      <c r="B83" s="318"/>
      <c r="C83" s="318"/>
      <c r="D83" s="318"/>
      <c r="E83" s="318"/>
      <c r="F83" s="318"/>
      <c r="G83" s="318"/>
      <c r="H83" s="12"/>
      <c r="I83" s="12"/>
      <c r="J83" s="13"/>
      <c r="K83" s="13"/>
      <c r="L83" s="13"/>
    </row>
    <row r="84" spans="1:12" s="83" customFormat="1">
      <c r="E84" s="88"/>
      <c r="H84" s="12"/>
      <c r="I84" s="12"/>
      <c r="J84" s="13"/>
      <c r="K84" s="13"/>
      <c r="L84" s="13"/>
    </row>
    <row r="85" spans="1:12" s="83" customFormat="1">
      <c r="E85" s="88"/>
      <c r="H85" s="12"/>
      <c r="I85" s="12"/>
      <c r="J85" s="13"/>
      <c r="K85" s="13"/>
      <c r="L85" s="13"/>
    </row>
    <row r="86" spans="1:12" s="83" customFormat="1">
      <c r="E86" s="88"/>
      <c r="H86" s="12"/>
      <c r="I86" s="12"/>
      <c r="J86" s="13"/>
      <c r="K86" s="13"/>
      <c r="L86" s="13"/>
    </row>
    <row r="87" spans="1:12" s="90" customFormat="1">
      <c r="A87" s="83"/>
      <c r="B87" s="83"/>
      <c r="C87" s="83"/>
      <c r="D87" s="83"/>
      <c r="E87" s="88"/>
      <c r="F87" s="83"/>
      <c r="G87" s="83"/>
      <c r="H87" s="12"/>
      <c r="I87" s="12"/>
      <c r="J87" s="3"/>
      <c r="K87" s="3"/>
      <c r="L87" s="3"/>
    </row>
    <row r="88" spans="1:12" s="90" customFormat="1">
      <c r="E88" s="91"/>
      <c r="H88" s="2"/>
      <c r="I88" s="2"/>
      <c r="J88" s="3"/>
      <c r="K88" s="3"/>
      <c r="L88" s="3"/>
    </row>
    <row r="89" spans="1:12" s="90" customFormat="1">
      <c r="E89" s="91"/>
      <c r="H89" s="2"/>
      <c r="I89" s="2"/>
      <c r="J89" s="3"/>
      <c r="K89" s="3"/>
      <c r="L89" s="3"/>
    </row>
    <row r="90" spans="1:12" s="90" customFormat="1">
      <c r="E90" s="91"/>
      <c r="H90" s="2"/>
      <c r="I90" s="2"/>
      <c r="J90" s="3"/>
      <c r="K90" s="3"/>
      <c r="L90" s="3"/>
    </row>
    <row r="91" spans="1:12" s="90" customFormat="1">
      <c r="E91" s="91"/>
      <c r="H91" s="2"/>
      <c r="I91" s="2"/>
      <c r="J91" s="3"/>
      <c r="K91" s="3"/>
      <c r="L91" s="3"/>
    </row>
    <row r="92" spans="1:12" s="90" customFormat="1">
      <c r="E92" s="91"/>
      <c r="H92" s="2"/>
      <c r="I92" s="2"/>
      <c r="J92" s="3"/>
      <c r="K92" s="3"/>
      <c r="L92" s="3"/>
    </row>
    <row r="93" spans="1:12" s="90" customFormat="1">
      <c r="E93" s="91"/>
      <c r="H93" s="2"/>
      <c r="I93" s="2"/>
      <c r="J93" s="3"/>
      <c r="K93" s="3"/>
      <c r="L93" s="3"/>
    </row>
    <row r="94" spans="1:12" s="90" customFormat="1">
      <c r="E94" s="91"/>
      <c r="H94" s="2"/>
      <c r="I94" s="2"/>
      <c r="J94" s="3"/>
      <c r="K94" s="3"/>
      <c r="L94" s="3"/>
    </row>
    <row r="95" spans="1:12" s="90" customFormat="1">
      <c r="E95" s="91"/>
      <c r="H95" s="2"/>
      <c r="I95" s="2"/>
      <c r="J95" s="3"/>
      <c r="K95" s="3"/>
      <c r="L95" s="3"/>
    </row>
    <row r="96" spans="1:12" s="90" customFormat="1">
      <c r="E96" s="91"/>
      <c r="H96" s="2"/>
      <c r="I96" s="2"/>
      <c r="J96" s="3"/>
      <c r="K96" s="3"/>
      <c r="L96" s="3"/>
    </row>
    <row r="97" spans="5:12" s="90" customFormat="1">
      <c r="E97" s="91"/>
      <c r="H97" s="2"/>
      <c r="I97" s="2"/>
      <c r="J97" s="3"/>
      <c r="K97" s="3"/>
      <c r="L97" s="3"/>
    </row>
    <row r="98" spans="5:12" s="90" customFormat="1">
      <c r="E98" s="91"/>
      <c r="H98" s="2"/>
      <c r="I98" s="2"/>
      <c r="J98" s="3"/>
      <c r="K98" s="3"/>
      <c r="L98" s="3"/>
    </row>
    <row r="99" spans="5:12" s="90" customFormat="1">
      <c r="E99" s="91"/>
      <c r="H99" s="2"/>
      <c r="I99" s="2"/>
      <c r="J99" s="3"/>
      <c r="K99" s="3"/>
      <c r="L99" s="3"/>
    </row>
    <row r="100" spans="5:12" s="90" customFormat="1">
      <c r="E100" s="91"/>
      <c r="H100" s="2"/>
      <c r="I100" s="2"/>
      <c r="J100" s="3"/>
      <c r="K100" s="3"/>
      <c r="L100" s="3"/>
    </row>
    <row r="101" spans="5:12" s="90" customFormat="1">
      <c r="E101" s="91"/>
      <c r="H101" s="2"/>
      <c r="I101" s="2"/>
      <c r="J101" s="3"/>
      <c r="K101" s="3"/>
      <c r="L101" s="3"/>
    </row>
    <row r="102" spans="5:12" s="90" customFormat="1">
      <c r="E102" s="91"/>
      <c r="H102" s="2"/>
      <c r="I102" s="2"/>
      <c r="J102" s="3"/>
      <c r="K102" s="3"/>
      <c r="L102" s="3"/>
    </row>
    <row r="103" spans="5:12" s="90" customFormat="1">
      <c r="E103" s="91"/>
      <c r="H103" s="2"/>
      <c r="I103" s="2"/>
      <c r="J103" s="3"/>
      <c r="K103" s="3"/>
      <c r="L103" s="3"/>
    </row>
    <row r="104" spans="5:12" s="90" customFormat="1">
      <c r="E104" s="91"/>
      <c r="H104" s="2"/>
      <c r="I104" s="2"/>
      <c r="J104" s="3"/>
      <c r="K104" s="3"/>
      <c r="L104" s="3"/>
    </row>
    <row r="105" spans="5:12" s="90" customFormat="1">
      <c r="E105" s="91"/>
      <c r="H105" s="2"/>
      <c r="I105" s="2"/>
      <c r="J105" s="3"/>
      <c r="K105" s="3"/>
      <c r="L105" s="3"/>
    </row>
    <row r="106" spans="5:12" s="90" customFormat="1">
      <c r="E106" s="91"/>
      <c r="H106" s="2"/>
      <c r="I106" s="2"/>
      <c r="J106" s="3"/>
      <c r="K106" s="3"/>
      <c r="L106" s="3"/>
    </row>
    <row r="107" spans="5:12" s="90" customFormat="1">
      <c r="E107" s="91"/>
      <c r="H107" s="2"/>
      <c r="I107" s="2"/>
      <c r="J107" s="3"/>
      <c r="K107" s="3"/>
      <c r="L107" s="3"/>
    </row>
    <row r="108" spans="5:12" s="90" customFormat="1">
      <c r="E108" s="91"/>
      <c r="H108" s="2"/>
      <c r="I108" s="2"/>
      <c r="J108" s="3"/>
      <c r="K108" s="3"/>
      <c r="L108" s="3"/>
    </row>
    <row r="109" spans="5:12" s="90" customFormat="1">
      <c r="E109" s="91"/>
      <c r="H109" s="2"/>
      <c r="I109" s="2"/>
      <c r="J109" s="3"/>
      <c r="K109" s="3"/>
      <c r="L109" s="3"/>
    </row>
    <row r="110" spans="5:12" s="90" customFormat="1">
      <c r="E110" s="91"/>
      <c r="H110" s="2"/>
      <c r="I110" s="2"/>
      <c r="J110" s="3"/>
      <c r="K110" s="3"/>
      <c r="L110" s="3"/>
    </row>
    <row r="111" spans="5:12" s="90" customFormat="1">
      <c r="E111" s="91"/>
      <c r="H111" s="2"/>
      <c r="I111" s="2"/>
      <c r="J111" s="3"/>
      <c r="K111" s="3"/>
      <c r="L111" s="3"/>
    </row>
    <row r="112" spans="5:12" s="90" customFormat="1">
      <c r="E112" s="91"/>
      <c r="H112" s="2"/>
      <c r="I112" s="2"/>
      <c r="J112" s="3"/>
      <c r="K112" s="3"/>
      <c r="L112" s="3"/>
    </row>
    <row r="113" spans="5:12" s="90" customFormat="1">
      <c r="E113" s="91"/>
      <c r="H113" s="2"/>
      <c r="I113" s="2"/>
      <c r="J113" s="3"/>
      <c r="K113" s="3"/>
      <c r="L113" s="3"/>
    </row>
    <row r="114" spans="5:12" s="90" customFormat="1">
      <c r="E114" s="91"/>
      <c r="H114" s="2"/>
      <c r="I114" s="2"/>
      <c r="J114" s="3"/>
      <c r="K114" s="3"/>
      <c r="L114" s="3"/>
    </row>
    <row r="115" spans="5:12" s="90" customFormat="1">
      <c r="E115" s="91"/>
      <c r="H115" s="2"/>
      <c r="I115" s="2"/>
      <c r="J115" s="3"/>
      <c r="K115" s="3"/>
      <c r="L115" s="3"/>
    </row>
    <row r="116" spans="5:12" s="90" customFormat="1">
      <c r="E116" s="91"/>
      <c r="H116" s="2"/>
      <c r="I116" s="2"/>
      <c r="J116" s="3"/>
      <c r="K116" s="3"/>
      <c r="L116" s="3"/>
    </row>
    <row r="117" spans="5:12" s="90" customFormat="1">
      <c r="E117" s="91"/>
      <c r="H117" s="2"/>
      <c r="I117" s="2"/>
      <c r="J117" s="3"/>
      <c r="K117" s="3"/>
      <c r="L117" s="3"/>
    </row>
    <row r="118" spans="5:12" s="90" customFormat="1">
      <c r="E118" s="91"/>
      <c r="H118" s="2"/>
      <c r="I118" s="2"/>
      <c r="J118" s="3"/>
      <c r="K118" s="3"/>
      <c r="L118" s="3"/>
    </row>
    <row r="119" spans="5:12" s="90" customFormat="1">
      <c r="E119" s="91"/>
      <c r="H119" s="2"/>
      <c r="I119" s="2"/>
      <c r="J119" s="3"/>
      <c r="K119" s="3"/>
      <c r="L119" s="3"/>
    </row>
    <row r="120" spans="5:12" s="90" customFormat="1">
      <c r="E120" s="91"/>
      <c r="H120" s="2"/>
      <c r="I120" s="2"/>
      <c r="J120" s="3"/>
      <c r="K120" s="3"/>
      <c r="L120" s="3"/>
    </row>
    <row r="121" spans="5:12" s="90" customFormat="1">
      <c r="E121" s="91"/>
      <c r="H121" s="2"/>
      <c r="I121" s="2"/>
      <c r="J121" s="3"/>
      <c r="K121" s="3"/>
      <c r="L121" s="3"/>
    </row>
    <row r="122" spans="5:12" s="90" customFormat="1">
      <c r="E122" s="91"/>
      <c r="H122" s="2"/>
      <c r="I122" s="2"/>
      <c r="J122" s="3"/>
      <c r="K122" s="3"/>
      <c r="L122" s="3"/>
    </row>
    <row r="123" spans="5:12" s="90" customFormat="1">
      <c r="E123" s="91"/>
      <c r="H123" s="2"/>
      <c r="I123" s="2"/>
      <c r="J123" s="3"/>
      <c r="K123" s="3"/>
      <c r="L123" s="3"/>
    </row>
    <row r="124" spans="5:12" s="90" customFormat="1">
      <c r="E124" s="91"/>
      <c r="H124" s="2"/>
      <c r="I124" s="2"/>
      <c r="J124" s="3"/>
      <c r="K124" s="3"/>
      <c r="L124" s="3"/>
    </row>
    <row r="125" spans="5:12" s="90" customFormat="1">
      <c r="E125" s="91"/>
      <c r="H125" s="2"/>
      <c r="I125" s="2"/>
      <c r="J125" s="3"/>
      <c r="K125" s="3"/>
      <c r="L125" s="3"/>
    </row>
    <row r="126" spans="5:12" s="90" customFormat="1">
      <c r="E126" s="91"/>
      <c r="H126" s="2"/>
      <c r="I126" s="2"/>
      <c r="J126" s="3"/>
      <c r="K126" s="3"/>
      <c r="L126" s="3"/>
    </row>
    <row r="127" spans="5:12" s="90" customFormat="1">
      <c r="E127" s="91"/>
      <c r="H127" s="2"/>
      <c r="I127" s="2"/>
      <c r="J127" s="3"/>
      <c r="K127" s="3"/>
      <c r="L127" s="3"/>
    </row>
    <row r="128" spans="5:12" s="90" customFormat="1">
      <c r="E128" s="91"/>
      <c r="H128" s="2"/>
      <c r="I128" s="2"/>
      <c r="J128" s="3"/>
      <c r="K128" s="3"/>
      <c r="L128" s="3"/>
    </row>
    <row r="129" spans="5:12" s="90" customFormat="1">
      <c r="E129" s="91"/>
      <c r="H129" s="2"/>
      <c r="I129" s="2"/>
      <c r="J129" s="3"/>
      <c r="K129" s="3"/>
      <c r="L129" s="3"/>
    </row>
    <row r="130" spans="5:12" s="90" customFormat="1">
      <c r="E130" s="91"/>
      <c r="H130" s="2"/>
      <c r="I130" s="2"/>
      <c r="J130" s="3"/>
      <c r="K130" s="3"/>
      <c r="L130" s="3"/>
    </row>
    <row r="131" spans="5:12" s="90" customFormat="1">
      <c r="E131" s="91"/>
      <c r="H131" s="2"/>
      <c r="I131" s="2"/>
      <c r="J131" s="3"/>
      <c r="K131" s="3"/>
      <c r="L131" s="3"/>
    </row>
    <row r="132" spans="5:12" s="90" customFormat="1">
      <c r="E132" s="91"/>
      <c r="H132" s="2"/>
      <c r="I132" s="2"/>
      <c r="J132" s="3"/>
      <c r="K132" s="3"/>
      <c r="L132" s="3"/>
    </row>
    <row r="133" spans="5:12" s="90" customFormat="1">
      <c r="E133" s="91"/>
      <c r="H133" s="2"/>
      <c r="I133" s="2"/>
      <c r="J133" s="3"/>
      <c r="K133" s="3"/>
      <c r="L133" s="3"/>
    </row>
    <row r="134" spans="5:12" s="90" customFormat="1">
      <c r="E134" s="91"/>
      <c r="H134" s="2"/>
      <c r="I134" s="2"/>
      <c r="J134" s="3"/>
      <c r="K134" s="3"/>
      <c r="L134" s="3"/>
    </row>
    <row r="135" spans="5:12" s="90" customFormat="1">
      <c r="E135" s="91"/>
      <c r="H135" s="2"/>
      <c r="I135" s="2"/>
      <c r="J135" s="3"/>
      <c r="K135" s="3"/>
      <c r="L135" s="3"/>
    </row>
    <row r="136" spans="5:12" s="90" customFormat="1">
      <c r="E136" s="91"/>
      <c r="H136" s="2"/>
      <c r="I136" s="2"/>
      <c r="J136" s="3"/>
      <c r="K136" s="3"/>
      <c r="L136" s="3"/>
    </row>
    <row r="137" spans="5:12" s="90" customFormat="1">
      <c r="E137" s="91"/>
      <c r="H137" s="2"/>
      <c r="I137" s="2"/>
      <c r="J137" s="3"/>
      <c r="K137" s="3"/>
      <c r="L137" s="3"/>
    </row>
    <row r="138" spans="5:12" s="90" customFormat="1">
      <c r="E138" s="91"/>
      <c r="H138" s="2"/>
      <c r="I138" s="2"/>
      <c r="J138" s="3"/>
      <c r="K138" s="3"/>
      <c r="L138" s="3"/>
    </row>
    <row r="139" spans="5:12" s="90" customFormat="1">
      <c r="E139" s="91"/>
      <c r="H139" s="2"/>
      <c r="I139" s="2"/>
      <c r="J139" s="3"/>
      <c r="K139" s="3"/>
      <c r="L139" s="3"/>
    </row>
    <row r="140" spans="5:12" s="90" customFormat="1">
      <c r="E140" s="91"/>
      <c r="H140" s="2"/>
      <c r="I140" s="2"/>
      <c r="J140" s="3"/>
      <c r="K140" s="3"/>
      <c r="L140" s="3"/>
    </row>
    <row r="141" spans="5:12" s="90" customFormat="1">
      <c r="E141" s="91"/>
      <c r="H141" s="2"/>
      <c r="I141" s="2"/>
      <c r="J141" s="3"/>
      <c r="K141" s="3"/>
      <c r="L141" s="3"/>
    </row>
    <row r="142" spans="5:12" s="90" customFormat="1">
      <c r="E142" s="91"/>
      <c r="H142" s="2"/>
      <c r="I142" s="2"/>
      <c r="J142" s="3"/>
      <c r="K142" s="3"/>
      <c r="L142" s="3"/>
    </row>
    <row r="143" spans="5:12" s="90" customFormat="1">
      <c r="E143" s="91"/>
      <c r="H143" s="2"/>
      <c r="I143" s="2"/>
      <c r="J143" s="3"/>
      <c r="K143" s="3"/>
      <c r="L143" s="3"/>
    </row>
    <row r="144" spans="5:12" s="90" customFormat="1">
      <c r="E144" s="91"/>
      <c r="H144" s="2"/>
      <c r="I144" s="2"/>
      <c r="J144" s="3"/>
      <c r="K144" s="3"/>
      <c r="L144" s="3"/>
    </row>
    <row r="145" spans="5:12" s="90" customFormat="1">
      <c r="E145" s="91"/>
      <c r="H145" s="2"/>
      <c r="I145" s="2"/>
      <c r="J145" s="3"/>
      <c r="K145" s="3"/>
      <c r="L145" s="3"/>
    </row>
    <row r="146" spans="5:12" s="90" customFormat="1">
      <c r="E146" s="91"/>
      <c r="H146" s="2"/>
      <c r="I146" s="2"/>
      <c r="J146" s="3"/>
      <c r="K146" s="3"/>
      <c r="L146" s="3"/>
    </row>
    <row r="147" spans="5:12" s="90" customFormat="1">
      <c r="E147" s="91"/>
      <c r="H147" s="2"/>
      <c r="I147" s="2"/>
      <c r="J147" s="3"/>
      <c r="K147" s="3"/>
      <c r="L147" s="3"/>
    </row>
    <row r="148" spans="5:12" s="90" customFormat="1">
      <c r="E148" s="91"/>
      <c r="H148" s="2"/>
      <c r="I148" s="2"/>
      <c r="J148" s="3"/>
      <c r="K148" s="3"/>
      <c r="L148" s="3"/>
    </row>
    <row r="149" spans="5:12" s="90" customFormat="1">
      <c r="E149" s="91"/>
      <c r="H149" s="2"/>
      <c r="I149" s="2"/>
      <c r="J149" s="3"/>
      <c r="K149" s="3"/>
      <c r="L149" s="3"/>
    </row>
    <row r="150" spans="5:12" s="90" customFormat="1">
      <c r="E150" s="91"/>
      <c r="H150" s="2"/>
      <c r="I150" s="2"/>
      <c r="J150" s="3"/>
      <c r="K150" s="3"/>
      <c r="L150" s="3"/>
    </row>
    <row r="151" spans="5:12" s="90" customFormat="1">
      <c r="E151" s="91"/>
      <c r="H151" s="2"/>
      <c r="I151" s="2"/>
      <c r="J151" s="3"/>
      <c r="K151" s="3"/>
      <c r="L151" s="3"/>
    </row>
    <row r="152" spans="5:12" s="90" customFormat="1">
      <c r="E152" s="91"/>
      <c r="H152" s="2"/>
      <c r="I152" s="2"/>
      <c r="J152" s="3"/>
      <c r="K152" s="3"/>
      <c r="L152" s="3"/>
    </row>
    <row r="153" spans="5:12" s="90" customFormat="1">
      <c r="E153" s="91"/>
      <c r="H153" s="2"/>
      <c r="I153" s="2"/>
      <c r="J153" s="3"/>
      <c r="K153" s="3"/>
      <c r="L153" s="3"/>
    </row>
    <row r="154" spans="5:12" s="90" customFormat="1">
      <c r="E154" s="91"/>
      <c r="H154" s="2"/>
      <c r="I154" s="2"/>
      <c r="J154" s="3"/>
      <c r="K154" s="3"/>
      <c r="L154" s="3"/>
    </row>
    <row r="155" spans="5:12" s="90" customFormat="1">
      <c r="E155" s="91"/>
      <c r="H155" s="2"/>
      <c r="I155" s="2"/>
      <c r="J155" s="3"/>
      <c r="K155" s="3"/>
      <c r="L155" s="3"/>
    </row>
    <row r="156" spans="5:12" s="90" customFormat="1">
      <c r="E156" s="91"/>
      <c r="H156" s="2"/>
      <c r="I156" s="2"/>
      <c r="J156" s="3"/>
      <c r="K156" s="3"/>
      <c r="L156" s="3"/>
    </row>
    <row r="157" spans="5:12" s="90" customFormat="1">
      <c r="E157" s="91"/>
      <c r="H157" s="2"/>
      <c r="I157" s="2"/>
      <c r="J157" s="3"/>
      <c r="K157" s="3"/>
      <c r="L157" s="3"/>
    </row>
    <row r="158" spans="5:12" s="90" customFormat="1">
      <c r="E158" s="91"/>
      <c r="H158" s="2"/>
      <c r="I158" s="2"/>
      <c r="J158" s="3"/>
      <c r="K158" s="3"/>
      <c r="L158" s="3"/>
    </row>
    <row r="159" spans="5:12" s="90" customFormat="1">
      <c r="E159" s="91"/>
      <c r="H159" s="2"/>
      <c r="I159" s="2"/>
      <c r="J159" s="3"/>
      <c r="K159" s="3"/>
      <c r="L159" s="3"/>
    </row>
    <row r="160" spans="5:12" s="90" customFormat="1">
      <c r="E160" s="91"/>
      <c r="H160" s="2"/>
      <c r="I160" s="2"/>
      <c r="J160" s="3"/>
      <c r="K160" s="3"/>
      <c r="L160" s="3"/>
    </row>
    <row r="161" spans="5:12" s="90" customFormat="1">
      <c r="E161" s="91"/>
      <c r="H161" s="2"/>
      <c r="I161" s="2"/>
      <c r="J161" s="3"/>
      <c r="K161" s="3"/>
      <c r="L161" s="3"/>
    </row>
    <row r="162" spans="5:12" s="90" customFormat="1">
      <c r="E162" s="91"/>
      <c r="H162" s="2"/>
      <c r="I162" s="2"/>
      <c r="J162" s="3"/>
      <c r="K162" s="3"/>
      <c r="L162" s="3"/>
    </row>
    <row r="163" spans="5:12" s="90" customFormat="1">
      <c r="E163" s="91"/>
      <c r="H163" s="2"/>
      <c r="I163" s="2"/>
      <c r="J163" s="3"/>
      <c r="K163" s="3"/>
      <c r="L163" s="3"/>
    </row>
    <row r="164" spans="5:12" s="90" customFormat="1">
      <c r="E164" s="91"/>
      <c r="H164" s="2"/>
      <c r="I164" s="2"/>
      <c r="J164" s="3"/>
      <c r="K164" s="3"/>
      <c r="L164" s="3"/>
    </row>
    <row r="165" spans="5:12" s="90" customFormat="1">
      <c r="E165" s="91"/>
      <c r="H165" s="2"/>
      <c r="I165" s="2"/>
      <c r="J165" s="3"/>
      <c r="K165" s="3"/>
      <c r="L165" s="3"/>
    </row>
    <row r="166" spans="5:12" s="90" customFormat="1">
      <c r="E166" s="91"/>
      <c r="H166" s="2"/>
      <c r="I166" s="2"/>
      <c r="J166" s="3"/>
      <c r="K166" s="3"/>
      <c r="L166" s="3"/>
    </row>
    <row r="167" spans="5:12" s="90" customFormat="1">
      <c r="E167" s="91"/>
      <c r="H167" s="2"/>
      <c r="I167" s="2"/>
      <c r="J167" s="3"/>
      <c r="K167" s="3"/>
      <c r="L167" s="3"/>
    </row>
    <row r="168" spans="5:12" s="90" customFormat="1">
      <c r="E168" s="91"/>
      <c r="H168" s="2"/>
      <c r="I168" s="2"/>
      <c r="J168" s="3"/>
      <c r="K168" s="3"/>
      <c r="L168" s="3"/>
    </row>
    <row r="169" spans="5:12" s="90" customFormat="1">
      <c r="E169" s="91"/>
      <c r="H169" s="2"/>
      <c r="I169" s="2"/>
      <c r="J169" s="3"/>
      <c r="K169" s="3"/>
      <c r="L169" s="3"/>
    </row>
    <row r="170" spans="5:12" s="90" customFormat="1">
      <c r="E170" s="91"/>
      <c r="H170" s="2"/>
      <c r="I170" s="2"/>
      <c r="J170" s="3"/>
      <c r="K170" s="3"/>
      <c r="L170" s="3"/>
    </row>
    <row r="171" spans="5:12" s="90" customFormat="1">
      <c r="E171" s="91"/>
      <c r="H171" s="2"/>
      <c r="I171" s="2"/>
      <c r="J171" s="3"/>
      <c r="K171" s="3"/>
      <c r="L171" s="3"/>
    </row>
    <row r="172" spans="5:12" s="90" customFormat="1">
      <c r="E172" s="91"/>
      <c r="H172" s="2"/>
      <c r="I172" s="2"/>
      <c r="J172" s="3"/>
      <c r="K172" s="3"/>
      <c r="L172" s="3"/>
    </row>
    <row r="173" spans="5:12" s="90" customFormat="1">
      <c r="E173" s="91"/>
      <c r="H173" s="2"/>
      <c r="I173" s="2"/>
      <c r="J173" s="3"/>
      <c r="K173" s="3"/>
      <c r="L173" s="3"/>
    </row>
    <row r="174" spans="5:12" s="90" customFormat="1">
      <c r="E174" s="91"/>
      <c r="H174" s="2"/>
      <c r="I174" s="2"/>
      <c r="J174" s="3"/>
      <c r="K174" s="3"/>
      <c r="L174" s="3"/>
    </row>
    <row r="175" spans="5:12" s="90" customFormat="1">
      <c r="E175" s="91"/>
      <c r="H175" s="2"/>
      <c r="I175" s="2"/>
      <c r="J175" s="3"/>
      <c r="K175" s="3"/>
      <c r="L175" s="3"/>
    </row>
    <row r="176" spans="5:12" s="90" customFormat="1">
      <c r="E176" s="91"/>
      <c r="H176" s="2"/>
      <c r="I176" s="2"/>
      <c r="J176" s="3"/>
      <c r="K176" s="3"/>
      <c r="L176" s="3"/>
    </row>
    <row r="177" spans="5:12" s="90" customFormat="1">
      <c r="E177" s="91"/>
      <c r="H177" s="2"/>
      <c r="I177" s="2"/>
      <c r="J177" s="3"/>
      <c r="K177" s="3"/>
      <c r="L177" s="3"/>
    </row>
    <row r="178" spans="5:12" s="90" customFormat="1">
      <c r="E178" s="91"/>
      <c r="H178" s="2"/>
      <c r="I178" s="2"/>
      <c r="J178" s="3"/>
      <c r="K178" s="3"/>
      <c r="L178" s="3"/>
    </row>
    <row r="179" spans="5:12" s="90" customFormat="1">
      <c r="E179" s="91"/>
      <c r="H179" s="2"/>
      <c r="I179" s="2"/>
      <c r="J179" s="3"/>
      <c r="K179" s="3"/>
      <c r="L179" s="3"/>
    </row>
    <row r="180" spans="5:12" s="90" customFormat="1">
      <c r="E180" s="91"/>
      <c r="H180" s="2"/>
      <c r="I180" s="2"/>
      <c r="J180" s="3"/>
      <c r="K180" s="3"/>
      <c r="L180" s="3"/>
    </row>
    <row r="181" spans="5:12" s="90" customFormat="1">
      <c r="E181" s="91"/>
      <c r="H181" s="2"/>
      <c r="I181" s="2"/>
      <c r="J181" s="3"/>
      <c r="K181" s="3"/>
      <c r="L181" s="3"/>
    </row>
    <row r="182" spans="5:12" s="90" customFormat="1">
      <c r="E182" s="91"/>
      <c r="H182" s="2"/>
      <c r="I182" s="2"/>
      <c r="J182" s="3"/>
      <c r="K182" s="3"/>
      <c r="L182" s="3"/>
    </row>
    <row r="183" spans="5:12" s="90" customFormat="1">
      <c r="E183" s="91"/>
      <c r="H183" s="2"/>
      <c r="I183" s="2"/>
      <c r="J183" s="3"/>
      <c r="K183" s="3"/>
      <c r="L183" s="3"/>
    </row>
    <row r="184" spans="5:12" s="90" customFormat="1">
      <c r="E184" s="91"/>
      <c r="H184" s="2"/>
      <c r="I184" s="2"/>
      <c r="J184" s="3"/>
      <c r="K184" s="3"/>
      <c r="L184" s="3"/>
    </row>
    <row r="185" spans="5:12" s="90" customFormat="1">
      <c r="E185" s="91"/>
      <c r="H185" s="2"/>
      <c r="I185" s="2"/>
      <c r="J185" s="3"/>
      <c r="K185" s="3"/>
      <c r="L185" s="3"/>
    </row>
    <row r="186" spans="5:12" s="90" customFormat="1">
      <c r="E186" s="91"/>
      <c r="H186" s="2"/>
      <c r="I186" s="2"/>
      <c r="J186" s="3"/>
      <c r="K186" s="3"/>
      <c r="L186" s="3"/>
    </row>
    <row r="187" spans="5:12" s="90" customFormat="1">
      <c r="E187" s="91"/>
      <c r="H187" s="2"/>
      <c r="I187" s="2"/>
      <c r="J187" s="3"/>
      <c r="K187" s="3"/>
      <c r="L187" s="3"/>
    </row>
    <row r="188" spans="5:12" s="90" customFormat="1">
      <c r="E188" s="91"/>
      <c r="H188" s="2"/>
      <c r="I188" s="2"/>
      <c r="J188" s="3"/>
      <c r="K188" s="3"/>
      <c r="L188" s="3"/>
    </row>
    <row r="189" spans="5:12" s="90" customFormat="1">
      <c r="E189" s="91"/>
      <c r="H189" s="2"/>
      <c r="I189" s="2"/>
      <c r="J189" s="3"/>
      <c r="K189" s="3"/>
      <c r="L189" s="3"/>
    </row>
    <row r="190" spans="5:12" s="90" customFormat="1">
      <c r="E190" s="91"/>
      <c r="H190" s="2"/>
      <c r="I190" s="2"/>
      <c r="J190" s="3"/>
      <c r="K190" s="3"/>
      <c r="L190" s="3"/>
    </row>
    <row r="191" spans="5:12" s="90" customFormat="1">
      <c r="E191" s="91"/>
      <c r="H191" s="2"/>
      <c r="I191" s="2"/>
      <c r="J191" s="3"/>
      <c r="K191" s="3"/>
      <c r="L191" s="3"/>
    </row>
    <row r="192" spans="5:12" s="90" customFormat="1">
      <c r="E192" s="91"/>
      <c r="H192" s="2"/>
      <c r="I192" s="2"/>
      <c r="J192" s="3"/>
      <c r="K192" s="3"/>
      <c r="L192" s="3"/>
    </row>
    <row r="193" spans="5:12" s="90" customFormat="1">
      <c r="E193" s="91"/>
      <c r="H193" s="2"/>
      <c r="I193" s="2"/>
      <c r="J193" s="3"/>
      <c r="K193" s="3"/>
      <c r="L193" s="3"/>
    </row>
    <row r="194" spans="5:12" s="90" customFormat="1">
      <c r="E194" s="91"/>
      <c r="H194" s="2"/>
      <c r="I194" s="2"/>
      <c r="J194" s="3"/>
      <c r="K194" s="3"/>
      <c r="L194" s="3"/>
    </row>
    <row r="195" spans="5:12" s="90" customFormat="1">
      <c r="E195" s="91"/>
      <c r="H195" s="2"/>
      <c r="I195" s="2"/>
      <c r="J195" s="3"/>
      <c r="K195" s="3"/>
      <c r="L195" s="3"/>
    </row>
    <row r="196" spans="5:12" s="90" customFormat="1">
      <c r="E196" s="91"/>
      <c r="H196" s="2"/>
      <c r="I196" s="2"/>
      <c r="J196" s="3"/>
      <c r="K196" s="3"/>
      <c r="L196" s="3"/>
    </row>
    <row r="197" spans="5:12" s="90" customFormat="1">
      <c r="E197" s="91"/>
      <c r="H197" s="2"/>
      <c r="I197" s="2"/>
      <c r="J197" s="3"/>
      <c r="K197" s="3"/>
      <c r="L197" s="3"/>
    </row>
    <row r="198" spans="5:12" s="90" customFormat="1">
      <c r="E198" s="91"/>
      <c r="H198" s="2"/>
      <c r="I198" s="2"/>
      <c r="J198" s="3"/>
      <c r="K198" s="3"/>
      <c r="L198" s="3"/>
    </row>
    <row r="199" spans="5:12" s="90" customFormat="1">
      <c r="E199" s="91"/>
      <c r="H199" s="2"/>
      <c r="I199" s="2"/>
      <c r="J199" s="3"/>
      <c r="K199" s="3"/>
      <c r="L199" s="3"/>
    </row>
    <row r="200" spans="5:12" s="90" customFormat="1">
      <c r="E200" s="91"/>
      <c r="H200" s="2"/>
      <c r="I200" s="2"/>
      <c r="J200" s="3"/>
      <c r="K200" s="3"/>
      <c r="L200" s="3"/>
    </row>
    <row r="201" spans="5:12" s="90" customFormat="1">
      <c r="E201" s="91"/>
      <c r="H201" s="2"/>
      <c r="I201" s="2"/>
      <c r="J201" s="3"/>
      <c r="K201" s="3"/>
      <c r="L201" s="3"/>
    </row>
    <row r="202" spans="5:12" s="90" customFormat="1">
      <c r="E202" s="91"/>
      <c r="H202" s="2"/>
      <c r="I202" s="2"/>
      <c r="J202" s="3"/>
      <c r="K202" s="3"/>
      <c r="L202" s="3"/>
    </row>
    <row r="203" spans="5:12" s="90" customFormat="1">
      <c r="E203" s="91"/>
      <c r="H203" s="2"/>
      <c r="I203" s="2"/>
      <c r="J203" s="3"/>
      <c r="K203" s="3"/>
      <c r="L203" s="3"/>
    </row>
    <row r="204" spans="5:12" s="90" customFormat="1">
      <c r="E204" s="91"/>
      <c r="H204" s="2"/>
      <c r="I204" s="2"/>
      <c r="J204" s="3"/>
      <c r="K204" s="3"/>
      <c r="L204" s="3"/>
    </row>
    <row r="205" spans="5:12" s="90" customFormat="1">
      <c r="E205" s="91"/>
      <c r="H205" s="2"/>
      <c r="I205" s="2"/>
      <c r="J205" s="3"/>
      <c r="K205" s="3"/>
      <c r="L205" s="3"/>
    </row>
    <row r="206" spans="5:12" s="90" customFormat="1">
      <c r="E206" s="91"/>
      <c r="H206" s="2"/>
      <c r="I206" s="2"/>
      <c r="J206" s="3"/>
      <c r="K206" s="3"/>
      <c r="L206" s="3"/>
    </row>
    <row r="207" spans="5:12" s="90" customFormat="1">
      <c r="E207" s="91"/>
      <c r="H207" s="2"/>
      <c r="I207" s="2"/>
      <c r="J207" s="3"/>
      <c r="K207" s="3"/>
      <c r="L207" s="3"/>
    </row>
    <row r="208" spans="5:12" s="90" customFormat="1">
      <c r="E208" s="91"/>
      <c r="H208" s="2"/>
      <c r="I208" s="2"/>
      <c r="J208" s="3"/>
      <c r="K208" s="3"/>
      <c r="L208" s="3"/>
    </row>
    <row r="209" spans="5:12" s="90" customFormat="1">
      <c r="E209" s="91"/>
      <c r="H209" s="2"/>
      <c r="I209" s="2"/>
      <c r="J209" s="3"/>
      <c r="K209" s="3"/>
      <c r="L209" s="3"/>
    </row>
    <row r="210" spans="5:12" s="90" customFormat="1">
      <c r="E210" s="91"/>
      <c r="H210" s="2"/>
      <c r="I210" s="2"/>
      <c r="J210" s="3"/>
      <c r="K210" s="3"/>
      <c r="L210" s="3"/>
    </row>
    <row r="211" spans="5:12" s="90" customFormat="1">
      <c r="E211" s="91"/>
      <c r="H211" s="2"/>
      <c r="I211" s="2"/>
      <c r="J211" s="3"/>
      <c r="K211" s="3"/>
      <c r="L211" s="3"/>
    </row>
    <row r="212" spans="5:12" s="90" customFormat="1">
      <c r="E212" s="91"/>
      <c r="H212" s="2"/>
      <c r="I212" s="2"/>
      <c r="J212" s="3"/>
      <c r="K212" s="3"/>
      <c r="L212" s="3"/>
    </row>
    <row r="213" spans="5:12" s="90" customFormat="1">
      <c r="E213" s="91"/>
      <c r="H213" s="2"/>
      <c r="I213" s="2"/>
      <c r="J213" s="3"/>
      <c r="K213" s="3"/>
      <c r="L213" s="3"/>
    </row>
    <row r="214" spans="5:12" s="90" customFormat="1">
      <c r="E214" s="91"/>
      <c r="H214" s="2"/>
      <c r="I214" s="2"/>
      <c r="J214" s="3"/>
      <c r="K214" s="3"/>
      <c r="L214" s="3"/>
    </row>
    <row r="215" spans="5:12" s="90" customFormat="1">
      <c r="E215" s="91"/>
      <c r="H215" s="2"/>
      <c r="I215" s="2"/>
      <c r="J215" s="3"/>
      <c r="K215" s="3"/>
      <c r="L215" s="3"/>
    </row>
    <row r="216" spans="5:12" s="90" customFormat="1">
      <c r="E216" s="91"/>
      <c r="H216" s="2"/>
      <c r="I216" s="2"/>
      <c r="J216" s="3"/>
      <c r="K216" s="3"/>
      <c r="L216" s="3"/>
    </row>
    <row r="217" spans="5:12" s="90" customFormat="1">
      <c r="E217" s="91"/>
      <c r="H217" s="2"/>
      <c r="I217" s="2"/>
      <c r="J217" s="3"/>
      <c r="K217" s="3"/>
      <c r="L217" s="3"/>
    </row>
    <row r="218" spans="5:12" s="90" customFormat="1">
      <c r="E218" s="91"/>
      <c r="H218" s="2"/>
      <c r="I218" s="2"/>
      <c r="J218" s="3"/>
      <c r="K218" s="3"/>
      <c r="L218" s="3"/>
    </row>
    <row r="219" spans="5:12" s="90" customFormat="1">
      <c r="E219" s="91"/>
      <c r="H219" s="2"/>
      <c r="I219" s="2"/>
      <c r="J219" s="3"/>
      <c r="K219" s="3"/>
      <c r="L219" s="3"/>
    </row>
    <row r="220" spans="5:12" s="90" customFormat="1">
      <c r="E220" s="91"/>
      <c r="H220" s="2"/>
      <c r="I220" s="2"/>
      <c r="J220" s="3"/>
      <c r="K220" s="3"/>
      <c r="L220" s="3"/>
    </row>
    <row r="221" spans="5:12" s="90" customFormat="1">
      <c r="E221" s="91"/>
      <c r="H221" s="2"/>
      <c r="I221" s="2"/>
      <c r="J221" s="3"/>
      <c r="K221" s="3"/>
      <c r="L221" s="3"/>
    </row>
    <row r="222" spans="5:12" s="90" customFormat="1">
      <c r="E222" s="91"/>
      <c r="H222" s="2"/>
      <c r="I222" s="2"/>
      <c r="J222" s="3"/>
      <c r="K222" s="3"/>
      <c r="L222" s="3"/>
    </row>
    <row r="223" spans="5:12" s="90" customFormat="1">
      <c r="E223" s="91"/>
      <c r="H223" s="2"/>
      <c r="I223" s="2"/>
      <c r="J223" s="3"/>
      <c r="K223" s="3"/>
      <c r="L223" s="3"/>
    </row>
    <row r="224" spans="5:12" s="90" customFormat="1">
      <c r="E224" s="91"/>
      <c r="H224" s="2"/>
      <c r="I224" s="2"/>
      <c r="J224" s="3"/>
      <c r="K224" s="3"/>
      <c r="L224" s="3"/>
    </row>
    <row r="225" spans="5:12" s="90" customFormat="1">
      <c r="E225" s="91"/>
      <c r="H225" s="2"/>
      <c r="I225" s="2"/>
      <c r="J225" s="3"/>
      <c r="K225" s="3"/>
      <c r="L225" s="3"/>
    </row>
    <row r="226" spans="5:12" s="90" customFormat="1">
      <c r="E226" s="91"/>
      <c r="H226" s="2"/>
      <c r="I226" s="2"/>
      <c r="J226" s="3"/>
      <c r="K226" s="3"/>
      <c r="L226" s="3"/>
    </row>
    <row r="227" spans="5:12" s="90" customFormat="1">
      <c r="E227" s="91"/>
      <c r="H227" s="2"/>
      <c r="I227" s="2"/>
      <c r="J227" s="3"/>
      <c r="K227" s="3"/>
      <c r="L227" s="3"/>
    </row>
    <row r="228" spans="5:12" s="90" customFormat="1">
      <c r="E228" s="91"/>
      <c r="H228" s="2"/>
      <c r="I228" s="2"/>
      <c r="J228" s="3"/>
      <c r="K228" s="3"/>
      <c r="L228" s="3"/>
    </row>
    <row r="229" spans="5:12" s="90" customFormat="1">
      <c r="E229" s="91"/>
      <c r="H229" s="2"/>
      <c r="I229" s="2"/>
      <c r="J229" s="3"/>
      <c r="K229" s="3"/>
      <c r="L229" s="3"/>
    </row>
    <row r="230" spans="5:12" s="90" customFormat="1">
      <c r="E230" s="91"/>
      <c r="H230" s="2"/>
      <c r="I230" s="2"/>
      <c r="J230" s="3"/>
      <c r="K230" s="3"/>
      <c r="L230" s="3"/>
    </row>
    <row r="231" spans="5:12" s="90" customFormat="1">
      <c r="E231" s="91"/>
      <c r="H231" s="2"/>
      <c r="I231" s="2"/>
      <c r="J231" s="3"/>
      <c r="K231" s="3"/>
      <c r="L231" s="3"/>
    </row>
    <row r="232" spans="5:12" s="90" customFormat="1">
      <c r="E232" s="91"/>
      <c r="H232" s="2"/>
      <c r="I232" s="2"/>
      <c r="J232" s="3"/>
      <c r="K232" s="3"/>
      <c r="L232" s="3"/>
    </row>
    <row r="233" spans="5:12" s="90" customFormat="1">
      <c r="E233" s="91"/>
      <c r="H233" s="2"/>
      <c r="I233" s="2"/>
      <c r="J233" s="3"/>
      <c r="K233" s="3"/>
      <c r="L233" s="3"/>
    </row>
    <row r="234" spans="5:12" s="90" customFormat="1">
      <c r="E234" s="91"/>
      <c r="H234" s="2"/>
      <c r="I234" s="2"/>
      <c r="J234" s="3"/>
      <c r="K234" s="3"/>
      <c r="L234" s="3"/>
    </row>
    <row r="235" spans="5:12" s="90" customFormat="1">
      <c r="E235" s="91"/>
      <c r="H235" s="2"/>
      <c r="I235" s="2"/>
      <c r="J235" s="3"/>
      <c r="K235" s="3"/>
      <c r="L235" s="3"/>
    </row>
    <row r="236" spans="5:12" s="90" customFormat="1">
      <c r="E236" s="91"/>
      <c r="H236" s="2"/>
      <c r="I236" s="2"/>
      <c r="J236" s="3"/>
      <c r="K236" s="3"/>
      <c r="L236" s="3"/>
    </row>
    <row r="237" spans="5:12" s="90" customFormat="1">
      <c r="E237" s="91"/>
      <c r="H237" s="2"/>
      <c r="I237" s="2"/>
      <c r="J237" s="3"/>
      <c r="K237" s="3"/>
      <c r="L237" s="3"/>
    </row>
    <row r="238" spans="5:12" s="90" customFormat="1">
      <c r="E238" s="91"/>
      <c r="H238" s="2"/>
      <c r="I238" s="2"/>
      <c r="J238" s="3"/>
      <c r="K238" s="3"/>
      <c r="L238" s="3"/>
    </row>
    <row r="239" spans="5:12" s="90" customFormat="1">
      <c r="E239" s="91"/>
      <c r="H239" s="2"/>
      <c r="I239" s="2"/>
      <c r="J239" s="3"/>
      <c r="K239" s="3"/>
      <c r="L239" s="3"/>
    </row>
    <row r="240" spans="5:12" s="90" customFormat="1">
      <c r="E240" s="91"/>
      <c r="H240" s="2"/>
      <c r="I240" s="2"/>
      <c r="J240" s="3"/>
      <c r="K240" s="3"/>
      <c r="L240" s="3"/>
    </row>
    <row r="241" spans="5:12" s="90" customFormat="1">
      <c r="E241" s="91"/>
      <c r="H241" s="2"/>
      <c r="I241" s="2"/>
      <c r="J241" s="3"/>
      <c r="K241" s="3"/>
      <c r="L241" s="3"/>
    </row>
    <row r="242" spans="5:12" s="90" customFormat="1">
      <c r="E242" s="91"/>
      <c r="H242" s="2"/>
      <c r="I242" s="2"/>
      <c r="J242" s="3"/>
      <c r="K242" s="3"/>
      <c r="L242" s="3"/>
    </row>
    <row r="243" spans="5:12" s="90" customFormat="1">
      <c r="E243" s="91"/>
      <c r="H243" s="2"/>
      <c r="I243" s="2"/>
      <c r="J243" s="3"/>
      <c r="K243" s="3"/>
      <c r="L243" s="3"/>
    </row>
    <row r="244" spans="5:12" s="90" customFormat="1">
      <c r="E244" s="91"/>
      <c r="H244" s="2"/>
      <c r="I244" s="2"/>
      <c r="J244" s="3"/>
      <c r="K244" s="3"/>
      <c r="L244" s="3"/>
    </row>
    <row r="245" spans="5:12" s="90" customFormat="1">
      <c r="E245" s="91"/>
      <c r="H245" s="2"/>
      <c r="I245" s="2"/>
      <c r="J245" s="3"/>
      <c r="K245" s="3"/>
      <c r="L245" s="3"/>
    </row>
    <row r="246" spans="5:12" s="90" customFormat="1">
      <c r="E246" s="91"/>
      <c r="H246" s="2"/>
      <c r="I246" s="2"/>
      <c r="J246" s="3"/>
      <c r="K246" s="3"/>
      <c r="L246" s="3"/>
    </row>
    <row r="247" spans="5:12" s="90" customFormat="1">
      <c r="E247" s="91"/>
      <c r="H247" s="2"/>
      <c r="I247" s="2"/>
      <c r="J247" s="3"/>
      <c r="K247" s="3"/>
      <c r="L247" s="3"/>
    </row>
    <row r="248" spans="5:12" s="90" customFormat="1">
      <c r="E248" s="91"/>
      <c r="H248" s="2"/>
      <c r="I248" s="2"/>
      <c r="J248" s="3"/>
      <c r="K248" s="3"/>
      <c r="L248" s="3"/>
    </row>
    <row r="249" spans="5:12" s="90" customFormat="1">
      <c r="E249" s="91"/>
      <c r="H249" s="2"/>
      <c r="I249" s="2"/>
      <c r="J249" s="3"/>
      <c r="K249" s="3"/>
      <c r="L249" s="3"/>
    </row>
    <row r="250" spans="5:12" s="90" customFormat="1">
      <c r="E250" s="91"/>
      <c r="H250" s="2"/>
      <c r="I250" s="2"/>
      <c r="J250" s="3"/>
      <c r="K250" s="3"/>
      <c r="L250" s="3"/>
    </row>
    <row r="251" spans="5:12" s="90" customFormat="1">
      <c r="E251" s="91"/>
      <c r="H251" s="2"/>
      <c r="I251" s="2"/>
      <c r="J251" s="3"/>
      <c r="K251" s="3"/>
      <c r="L251" s="3"/>
    </row>
    <row r="252" spans="5:12" s="90" customFormat="1">
      <c r="E252" s="91"/>
      <c r="H252" s="2"/>
      <c r="I252" s="2"/>
      <c r="J252" s="3"/>
      <c r="K252" s="3"/>
      <c r="L252" s="3"/>
    </row>
    <row r="253" spans="5:12" s="90" customFormat="1">
      <c r="E253" s="91"/>
      <c r="H253" s="2"/>
      <c r="I253" s="2"/>
      <c r="J253" s="3"/>
      <c r="K253" s="3"/>
      <c r="L253" s="3"/>
    </row>
    <row r="254" spans="5:12" s="90" customFormat="1">
      <c r="E254" s="91"/>
      <c r="H254" s="2"/>
      <c r="I254" s="2"/>
      <c r="J254" s="3"/>
      <c r="K254" s="3"/>
      <c r="L254" s="3"/>
    </row>
    <row r="255" spans="5:12" s="90" customFormat="1">
      <c r="E255" s="91"/>
      <c r="H255" s="2"/>
      <c r="I255" s="2"/>
      <c r="J255" s="3"/>
      <c r="K255" s="3"/>
      <c r="L255" s="3"/>
    </row>
    <row r="256" spans="5:12" s="90" customFormat="1">
      <c r="E256" s="91"/>
      <c r="H256" s="2"/>
      <c r="I256" s="2"/>
      <c r="J256" s="3"/>
      <c r="K256" s="3"/>
      <c r="L256" s="3"/>
    </row>
    <row r="257" spans="5:12" s="90" customFormat="1">
      <c r="E257" s="91"/>
      <c r="H257" s="2"/>
      <c r="I257" s="2"/>
      <c r="J257" s="3"/>
      <c r="K257" s="3"/>
      <c r="L257" s="3"/>
    </row>
    <row r="258" spans="5:12" s="90" customFormat="1">
      <c r="E258" s="91"/>
      <c r="H258" s="2"/>
      <c r="I258" s="2"/>
      <c r="J258" s="3"/>
      <c r="K258" s="3"/>
      <c r="L258" s="3"/>
    </row>
    <row r="259" spans="5:12" s="90" customFormat="1">
      <c r="E259" s="91"/>
      <c r="H259" s="2"/>
      <c r="I259" s="2"/>
      <c r="J259" s="3"/>
      <c r="K259" s="3"/>
      <c r="L259" s="3"/>
    </row>
    <row r="260" spans="5:12" s="90" customFormat="1">
      <c r="E260" s="91"/>
      <c r="H260" s="2"/>
      <c r="I260" s="2"/>
      <c r="J260" s="3"/>
      <c r="K260" s="3"/>
      <c r="L260" s="3"/>
    </row>
    <row r="261" spans="5:12" s="90" customFormat="1">
      <c r="E261" s="91"/>
      <c r="H261" s="2"/>
      <c r="I261" s="2"/>
      <c r="J261" s="3"/>
      <c r="K261" s="3"/>
      <c r="L261" s="3"/>
    </row>
    <row r="262" spans="5:12" s="90" customFormat="1">
      <c r="E262" s="91"/>
      <c r="H262" s="2"/>
      <c r="I262" s="2"/>
      <c r="J262" s="3"/>
      <c r="K262" s="3"/>
      <c r="L262" s="3"/>
    </row>
    <row r="263" spans="5:12" s="90" customFormat="1">
      <c r="E263" s="91"/>
      <c r="H263" s="2"/>
      <c r="I263" s="2"/>
      <c r="J263" s="3"/>
      <c r="K263" s="3"/>
      <c r="L263" s="3"/>
    </row>
    <row r="264" spans="5:12" s="90" customFormat="1">
      <c r="E264" s="91"/>
      <c r="H264" s="2"/>
      <c r="I264" s="2"/>
      <c r="J264" s="3"/>
      <c r="K264" s="3"/>
      <c r="L264" s="3"/>
    </row>
    <row r="265" spans="5:12" s="90" customFormat="1">
      <c r="E265" s="91"/>
      <c r="H265" s="2"/>
      <c r="I265" s="2"/>
      <c r="J265" s="3"/>
      <c r="K265" s="3"/>
      <c r="L265" s="3"/>
    </row>
    <row r="266" spans="5:12" s="90" customFormat="1">
      <c r="E266" s="91"/>
      <c r="H266" s="2"/>
      <c r="I266" s="2"/>
      <c r="J266" s="3"/>
      <c r="K266" s="3"/>
      <c r="L266" s="3"/>
    </row>
    <row r="267" spans="5:12" s="90" customFormat="1">
      <c r="E267" s="91"/>
      <c r="H267" s="2"/>
      <c r="I267" s="2"/>
      <c r="J267" s="3"/>
      <c r="K267" s="3"/>
      <c r="L267" s="3"/>
    </row>
    <row r="268" spans="5:12" s="90" customFormat="1">
      <c r="E268" s="91"/>
      <c r="H268" s="2"/>
      <c r="I268" s="2"/>
      <c r="J268" s="3"/>
      <c r="K268" s="3"/>
      <c r="L268" s="3"/>
    </row>
    <row r="269" spans="5:12" s="90" customFormat="1">
      <c r="E269" s="91"/>
      <c r="H269" s="2"/>
      <c r="I269" s="2"/>
      <c r="J269" s="3"/>
      <c r="K269" s="3"/>
      <c r="L269" s="3"/>
    </row>
    <row r="270" spans="5:12" s="90" customFormat="1">
      <c r="E270" s="91"/>
      <c r="H270" s="2"/>
      <c r="I270" s="2"/>
      <c r="J270" s="3"/>
      <c r="K270" s="3"/>
      <c r="L270" s="3"/>
    </row>
    <row r="271" spans="5:12" s="90" customFormat="1">
      <c r="E271" s="91"/>
      <c r="H271" s="2"/>
      <c r="I271" s="2"/>
      <c r="J271" s="3"/>
      <c r="K271" s="3"/>
      <c r="L271" s="3"/>
    </row>
    <row r="272" spans="5:12" s="90" customFormat="1">
      <c r="E272" s="91"/>
      <c r="H272" s="2"/>
      <c r="I272" s="2"/>
      <c r="J272" s="3"/>
      <c r="K272" s="3"/>
      <c r="L272" s="3"/>
    </row>
    <row r="273" spans="5:12" s="90" customFormat="1">
      <c r="E273" s="91"/>
      <c r="H273" s="2"/>
      <c r="I273" s="2"/>
      <c r="J273" s="3"/>
      <c r="K273" s="3"/>
      <c r="L273" s="3"/>
    </row>
    <row r="274" spans="5:12" s="90" customFormat="1">
      <c r="E274" s="91"/>
      <c r="H274" s="2"/>
      <c r="I274" s="2"/>
      <c r="J274" s="3"/>
      <c r="K274" s="3"/>
      <c r="L274" s="3"/>
    </row>
    <row r="275" spans="5:12" s="90" customFormat="1">
      <c r="E275" s="91"/>
      <c r="H275" s="2"/>
      <c r="I275" s="2"/>
      <c r="J275" s="3"/>
      <c r="K275" s="3"/>
      <c r="L275" s="3"/>
    </row>
    <row r="276" spans="5:12" s="90" customFormat="1">
      <c r="E276" s="91"/>
      <c r="H276" s="2"/>
      <c r="I276" s="2"/>
      <c r="J276" s="3"/>
      <c r="K276" s="3"/>
      <c r="L276" s="3"/>
    </row>
    <row r="277" spans="5:12" s="90" customFormat="1">
      <c r="E277" s="91"/>
      <c r="H277" s="2"/>
      <c r="I277" s="2"/>
      <c r="J277" s="3"/>
      <c r="K277" s="3"/>
      <c r="L277" s="3"/>
    </row>
    <row r="278" spans="5:12" s="90" customFormat="1">
      <c r="E278" s="91"/>
      <c r="H278" s="2"/>
      <c r="I278" s="2"/>
      <c r="J278" s="3"/>
      <c r="K278" s="3"/>
      <c r="L278" s="3"/>
    </row>
    <row r="279" spans="5:12" s="90" customFormat="1">
      <c r="E279" s="91"/>
      <c r="H279" s="2"/>
      <c r="I279" s="2"/>
      <c r="J279" s="3"/>
      <c r="K279" s="3"/>
      <c r="L279" s="3"/>
    </row>
    <row r="280" spans="5:12" s="90" customFormat="1">
      <c r="E280" s="91"/>
      <c r="H280" s="2"/>
      <c r="I280" s="2"/>
      <c r="J280" s="3"/>
      <c r="K280" s="3"/>
      <c r="L280" s="3"/>
    </row>
    <row r="281" spans="5:12" s="90" customFormat="1">
      <c r="E281" s="91"/>
      <c r="H281" s="2"/>
      <c r="I281" s="2"/>
      <c r="J281" s="3"/>
      <c r="K281" s="3"/>
      <c r="L281" s="3"/>
    </row>
    <row r="282" spans="5:12" s="90" customFormat="1">
      <c r="E282" s="91"/>
      <c r="H282" s="2"/>
      <c r="I282" s="2"/>
      <c r="J282" s="3"/>
      <c r="K282" s="3"/>
      <c r="L282" s="3"/>
    </row>
    <row r="283" spans="5:12" s="90" customFormat="1">
      <c r="E283" s="91"/>
      <c r="H283" s="2"/>
      <c r="I283" s="2"/>
      <c r="J283" s="3"/>
      <c r="K283" s="3"/>
      <c r="L283" s="3"/>
    </row>
    <row r="284" spans="5:12" s="90" customFormat="1">
      <c r="E284" s="91"/>
      <c r="H284" s="2"/>
      <c r="I284" s="2"/>
      <c r="J284" s="3"/>
      <c r="K284" s="3"/>
      <c r="L284" s="3"/>
    </row>
    <row r="285" spans="5:12" s="90" customFormat="1">
      <c r="E285" s="91"/>
      <c r="H285" s="2"/>
      <c r="I285" s="2"/>
      <c r="J285" s="3"/>
      <c r="K285" s="3"/>
      <c r="L285" s="3"/>
    </row>
    <row r="286" spans="5:12" s="90" customFormat="1">
      <c r="E286" s="91"/>
      <c r="H286" s="2"/>
      <c r="I286" s="2"/>
      <c r="J286" s="3"/>
      <c r="K286" s="3"/>
      <c r="L286" s="3"/>
    </row>
    <row r="287" spans="5:12" s="90" customFormat="1">
      <c r="E287" s="91"/>
      <c r="H287" s="2"/>
      <c r="I287" s="2"/>
      <c r="J287" s="3"/>
      <c r="K287" s="3"/>
      <c r="L287" s="3"/>
    </row>
    <row r="288" spans="5:12" s="90" customFormat="1">
      <c r="E288" s="91"/>
      <c r="H288" s="2"/>
      <c r="I288" s="2"/>
      <c r="J288" s="3"/>
      <c r="K288" s="3"/>
      <c r="L288" s="3"/>
    </row>
    <row r="289" spans="5:12" s="90" customFormat="1">
      <c r="E289" s="91"/>
      <c r="H289" s="2"/>
      <c r="I289" s="2"/>
      <c r="J289" s="3"/>
      <c r="K289" s="3"/>
      <c r="L289" s="3"/>
    </row>
    <row r="290" spans="5:12" s="90" customFormat="1">
      <c r="E290" s="91"/>
      <c r="H290" s="2"/>
      <c r="I290" s="2"/>
      <c r="J290" s="3"/>
      <c r="K290" s="3"/>
      <c r="L290" s="3"/>
    </row>
    <row r="291" spans="5:12" s="90" customFormat="1">
      <c r="E291" s="91"/>
      <c r="H291" s="2"/>
      <c r="I291" s="2"/>
      <c r="J291" s="3"/>
      <c r="K291" s="3"/>
      <c r="L291" s="3"/>
    </row>
    <row r="292" spans="5:12" s="90" customFormat="1">
      <c r="E292" s="91"/>
      <c r="H292" s="2"/>
      <c r="I292" s="2"/>
      <c r="J292" s="3"/>
      <c r="K292" s="3"/>
      <c r="L292" s="3"/>
    </row>
    <row r="293" spans="5:12" s="90" customFormat="1">
      <c r="E293" s="91"/>
      <c r="H293" s="2"/>
      <c r="I293" s="2"/>
      <c r="J293" s="3"/>
      <c r="K293" s="3"/>
      <c r="L293" s="3"/>
    </row>
    <row r="294" spans="5:12" s="90" customFormat="1">
      <c r="E294" s="91"/>
      <c r="H294" s="2"/>
      <c r="I294" s="2"/>
      <c r="J294" s="3"/>
      <c r="K294" s="3"/>
      <c r="L294" s="3"/>
    </row>
    <row r="295" spans="5:12" s="90" customFormat="1">
      <c r="E295" s="91"/>
      <c r="H295" s="2"/>
      <c r="I295" s="2"/>
      <c r="J295" s="3"/>
      <c r="K295" s="3"/>
      <c r="L295" s="3"/>
    </row>
    <row r="296" spans="5:12" s="90" customFormat="1">
      <c r="E296" s="91"/>
      <c r="H296" s="2"/>
      <c r="I296" s="2"/>
      <c r="J296" s="3"/>
      <c r="K296" s="3"/>
      <c r="L296" s="3"/>
    </row>
    <row r="297" spans="5:12" s="90" customFormat="1">
      <c r="E297" s="91"/>
      <c r="H297" s="2"/>
      <c r="I297" s="2"/>
      <c r="J297" s="3"/>
      <c r="K297" s="3"/>
      <c r="L297" s="3"/>
    </row>
    <row r="298" spans="5:12" s="90" customFormat="1">
      <c r="E298" s="91"/>
      <c r="H298" s="2"/>
      <c r="I298" s="2"/>
      <c r="J298" s="3"/>
      <c r="K298" s="3"/>
      <c r="L298" s="3"/>
    </row>
    <row r="299" spans="5:12" s="90" customFormat="1">
      <c r="E299" s="91"/>
      <c r="H299" s="2"/>
      <c r="I299" s="2"/>
      <c r="J299" s="3"/>
      <c r="K299" s="3"/>
      <c r="L299" s="3"/>
    </row>
    <row r="300" spans="5:12" s="90" customFormat="1">
      <c r="E300" s="91"/>
      <c r="H300" s="2"/>
      <c r="I300" s="2"/>
      <c r="J300" s="3"/>
      <c r="K300" s="3"/>
      <c r="L300" s="3"/>
    </row>
    <row r="301" spans="5:12" s="90" customFormat="1">
      <c r="E301" s="91"/>
      <c r="H301" s="2"/>
      <c r="I301" s="2"/>
      <c r="J301" s="3"/>
      <c r="K301" s="3"/>
      <c r="L301" s="3"/>
    </row>
    <row r="302" spans="5:12" s="90" customFormat="1">
      <c r="E302" s="91"/>
      <c r="H302" s="2"/>
      <c r="I302" s="2"/>
      <c r="J302" s="3"/>
      <c r="K302" s="3"/>
      <c r="L302" s="3"/>
    </row>
    <row r="303" spans="5:12" s="90" customFormat="1">
      <c r="E303" s="91"/>
      <c r="H303" s="2"/>
      <c r="I303" s="2"/>
      <c r="J303" s="3"/>
      <c r="K303" s="3"/>
      <c r="L303" s="3"/>
    </row>
    <row r="304" spans="5:12" s="90" customFormat="1">
      <c r="E304" s="91"/>
      <c r="H304" s="2"/>
      <c r="I304" s="2"/>
      <c r="J304" s="3"/>
      <c r="K304" s="3"/>
      <c r="L304" s="3"/>
    </row>
    <row r="305" spans="5:12" s="90" customFormat="1">
      <c r="E305" s="91"/>
      <c r="H305" s="2"/>
      <c r="I305" s="2"/>
      <c r="J305" s="3"/>
      <c r="K305" s="3"/>
      <c r="L305" s="3"/>
    </row>
    <row r="306" spans="5:12" s="90" customFormat="1">
      <c r="E306" s="91"/>
      <c r="H306" s="2"/>
      <c r="I306" s="2"/>
      <c r="J306" s="3"/>
      <c r="K306" s="3"/>
      <c r="L306" s="3"/>
    </row>
    <row r="307" spans="5:12" s="90" customFormat="1">
      <c r="E307" s="91"/>
      <c r="H307" s="2"/>
      <c r="I307" s="2"/>
      <c r="J307" s="3"/>
      <c r="K307" s="3"/>
      <c r="L307" s="3"/>
    </row>
    <row r="308" spans="5:12" s="90" customFormat="1">
      <c r="E308" s="91"/>
      <c r="H308" s="2"/>
      <c r="I308" s="2"/>
      <c r="J308" s="3"/>
      <c r="K308" s="3"/>
      <c r="L308" s="3"/>
    </row>
    <row r="309" spans="5:12" s="90" customFormat="1">
      <c r="E309" s="91"/>
      <c r="H309" s="2"/>
      <c r="I309" s="2"/>
      <c r="J309" s="3"/>
      <c r="K309" s="3"/>
      <c r="L309" s="3"/>
    </row>
    <row r="310" spans="5:12" s="90" customFormat="1">
      <c r="E310" s="91"/>
      <c r="H310" s="2"/>
      <c r="I310" s="2"/>
      <c r="J310" s="3"/>
      <c r="K310" s="3"/>
      <c r="L310" s="3"/>
    </row>
    <row r="311" spans="5:12" s="90" customFormat="1">
      <c r="E311" s="91"/>
      <c r="H311" s="2"/>
      <c r="I311" s="2"/>
      <c r="J311" s="3"/>
      <c r="K311" s="3"/>
      <c r="L311" s="3"/>
    </row>
    <row r="312" spans="5:12" s="90" customFormat="1">
      <c r="E312" s="91"/>
      <c r="H312" s="2"/>
      <c r="I312" s="2"/>
      <c r="J312" s="3"/>
      <c r="K312" s="3"/>
      <c r="L312" s="3"/>
    </row>
    <row r="313" spans="5:12" s="90" customFormat="1">
      <c r="E313" s="91"/>
      <c r="H313" s="2"/>
      <c r="I313" s="2"/>
      <c r="J313" s="3"/>
      <c r="K313" s="3"/>
      <c r="L313" s="3"/>
    </row>
    <row r="314" spans="5:12" s="90" customFormat="1">
      <c r="E314" s="91"/>
      <c r="H314" s="2"/>
      <c r="I314" s="2"/>
      <c r="J314" s="3"/>
      <c r="K314" s="3"/>
      <c r="L314" s="3"/>
    </row>
    <row r="315" spans="5:12" s="90" customFormat="1">
      <c r="E315" s="91"/>
      <c r="H315" s="2"/>
      <c r="I315" s="2"/>
      <c r="J315" s="3"/>
      <c r="K315" s="3"/>
      <c r="L315" s="3"/>
    </row>
    <row r="316" spans="5:12" s="90" customFormat="1">
      <c r="E316" s="91"/>
      <c r="H316" s="2"/>
      <c r="I316" s="2"/>
      <c r="J316" s="3"/>
      <c r="K316" s="3"/>
      <c r="L316" s="3"/>
    </row>
    <row r="317" spans="5:12" s="90" customFormat="1">
      <c r="E317" s="91"/>
      <c r="H317" s="2"/>
      <c r="I317" s="2"/>
      <c r="J317" s="3"/>
      <c r="K317" s="3"/>
      <c r="L317" s="3"/>
    </row>
    <row r="318" spans="5:12" s="90" customFormat="1">
      <c r="E318" s="91"/>
      <c r="H318" s="2"/>
      <c r="I318" s="2"/>
      <c r="J318" s="3"/>
      <c r="K318" s="3"/>
      <c r="L318" s="3"/>
    </row>
    <row r="319" spans="5:12" s="90" customFormat="1">
      <c r="E319" s="91"/>
      <c r="H319" s="2"/>
      <c r="I319" s="2"/>
      <c r="J319" s="3"/>
      <c r="K319" s="3"/>
      <c r="L319" s="3"/>
    </row>
    <row r="320" spans="5:12" s="90" customFormat="1">
      <c r="E320" s="91"/>
      <c r="H320" s="2"/>
      <c r="I320" s="2"/>
      <c r="J320" s="3"/>
      <c r="K320" s="3"/>
      <c r="L320" s="3"/>
    </row>
    <row r="321" spans="5:12" s="90" customFormat="1">
      <c r="E321" s="91"/>
      <c r="H321" s="2"/>
      <c r="I321" s="2"/>
      <c r="J321" s="3"/>
      <c r="K321" s="3"/>
      <c r="L321" s="3"/>
    </row>
    <row r="322" spans="5:12" s="90" customFormat="1">
      <c r="E322" s="91"/>
      <c r="H322" s="2"/>
      <c r="I322" s="2"/>
      <c r="J322" s="3"/>
      <c r="K322" s="3"/>
      <c r="L322" s="3"/>
    </row>
    <row r="323" spans="5:12" s="90" customFormat="1">
      <c r="E323" s="91"/>
      <c r="H323" s="2"/>
      <c r="I323" s="2"/>
      <c r="J323" s="3"/>
      <c r="K323" s="3"/>
      <c r="L323" s="3"/>
    </row>
    <row r="324" spans="5:12" s="90" customFormat="1">
      <c r="E324" s="91"/>
      <c r="H324" s="2"/>
      <c r="I324" s="2"/>
      <c r="J324" s="3"/>
      <c r="K324" s="3"/>
      <c r="L324" s="3"/>
    </row>
    <row r="325" spans="5:12" s="90" customFormat="1">
      <c r="E325" s="91"/>
      <c r="H325" s="2"/>
      <c r="I325" s="2"/>
      <c r="J325" s="3"/>
      <c r="K325" s="3"/>
      <c r="L325" s="3"/>
    </row>
    <row r="326" spans="5:12" s="90" customFormat="1">
      <c r="E326" s="91"/>
      <c r="H326" s="2"/>
      <c r="I326" s="2"/>
      <c r="J326" s="3"/>
      <c r="K326" s="3"/>
      <c r="L326" s="3"/>
    </row>
    <row r="327" spans="5:12" s="90" customFormat="1">
      <c r="E327" s="91"/>
      <c r="H327" s="2"/>
      <c r="I327" s="2"/>
      <c r="J327" s="3"/>
      <c r="K327" s="3"/>
      <c r="L327" s="3"/>
    </row>
    <row r="328" spans="5:12" s="90" customFormat="1">
      <c r="E328" s="91"/>
      <c r="H328" s="2"/>
      <c r="I328" s="2"/>
      <c r="J328" s="3"/>
      <c r="K328" s="3"/>
      <c r="L328" s="3"/>
    </row>
    <row r="329" spans="5:12" s="90" customFormat="1">
      <c r="E329" s="91"/>
      <c r="H329" s="2"/>
      <c r="I329" s="2"/>
      <c r="J329" s="3"/>
      <c r="K329" s="3"/>
      <c r="L329" s="3"/>
    </row>
    <row r="330" spans="5:12" s="90" customFormat="1">
      <c r="E330" s="91"/>
      <c r="H330" s="2"/>
      <c r="I330" s="2"/>
      <c r="J330" s="3"/>
      <c r="K330" s="3"/>
      <c r="L330" s="3"/>
    </row>
    <row r="331" spans="5:12" s="90" customFormat="1">
      <c r="E331" s="91"/>
      <c r="H331" s="2"/>
      <c r="I331" s="2"/>
      <c r="J331" s="3"/>
      <c r="K331" s="3"/>
      <c r="L331" s="3"/>
    </row>
    <row r="332" spans="5:12" s="90" customFormat="1">
      <c r="E332" s="91"/>
      <c r="H332" s="2"/>
      <c r="I332" s="2"/>
      <c r="J332" s="3"/>
      <c r="K332" s="3"/>
      <c r="L332" s="3"/>
    </row>
    <row r="333" spans="5:12" s="90" customFormat="1">
      <c r="E333" s="91"/>
      <c r="H333" s="2"/>
      <c r="I333" s="2"/>
      <c r="J333" s="3"/>
      <c r="K333" s="3"/>
      <c r="L333" s="3"/>
    </row>
    <row r="334" spans="5:12" s="90" customFormat="1">
      <c r="E334" s="91"/>
      <c r="H334" s="2"/>
      <c r="I334" s="2"/>
      <c r="J334" s="3"/>
      <c r="K334" s="3"/>
      <c r="L334" s="3"/>
    </row>
    <row r="335" spans="5:12" s="90" customFormat="1">
      <c r="E335" s="91"/>
      <c r="H335" s="2"/>
      <c r="I335" s="2"/>
      <c r="J335" s="3"/>
      <c r="K335" s="3"/>
      <c r="L335" s="3"/>
    </row>
    <row r="336" spans="5:12" s="90" customFormat="1">
      <c r="E336" s="91"/>
      <c r="H336" s="2"/>
      <c r="I336" s="2"/>
      <c r="J336" s="3"/>
      <c r="K336" s="3"/>
      <c r="L336" s="3"/>
    </row>
    <row r="337" spans="5:12" s="90" customFormat="1">
      <c r="E337" s="91"/>
      <c r="H337" s="2"/>
      <c r="I337" s="2"/>
      <c r="J337" s="3"/>
      <c r="K337" s="3"/>
      <c r="L337" s="3"/>
    </row>
    <row r="338" spans="5:12" s="90" customFormat="1">
      <c r="E338" s="91"/>
      <c r="H338" s="2"/>
      <c r="I338" s="2"/>
      <c r="J338" s="3"/>
      <c r="K338" s="3"/>
      <c r="L338" s="3"/>
    </row>
    <row r="339" spans="5:12" s="90" customFormat="1">
      <c r="E339" s="91"/>
      <c r="H339" s="2"/>
      <c r="I339" s="2"/>
      <c r="J339" s="3"/>
      <c r="K339" s="3"/>
      <c r="L339" s="3"/>
    </row>
    <row r="340" spans="5:12" s="90" customFormat="1">
      <c r="E340" s="91"/>
      <c r="H340" s="2"/>
      <c r="I340" s="2"/>
      <c r="J340" s="3"/>
      <c r="K340" s="3"/>
      <c r="L340" s="3"/>
    </row>
    <row r="341" spans="5:12" s="90" customFormat="1">
      <c r="E341" s="91"/>
      <c r="H341" s="2"/>
      <c r="I341" s="2"/>
      <c r="J341" s="3"/>
      <c r="K341" s="3"/>
      <c r="L341" s="3"/>
    </row>
    <row r="342" spans="5:12" s="90" customFormat="1">
      <c r="E342" s="91"/>
      <c r="H342" s="2"/>
      <c r="I342" s="2"/>
      <c r="J342" s="3"/>
      <c r="K342" s="3"/>
      <c r="L342" s="3"/>
    </row>
    <row r="343" spans="5:12" s="90" customFormat="1">
      <c r="E343" s="91"/>
      <c r="H343" s="2"/>
      <c r="I343" s="2"/>
      <c r="J343" s="3"/>
      <c r="K343" s="3"/>
      <c r="L343" s="3"/>
    </row>
    <row r="344" spans="5:12" s="90" customFormat="1">
      <c r="E344" s="91"/>
      <c r="H344" s="2"/>
      <c r="I344" s="2"/>
      <c r="J344" s="3"/>
      <c r="K344" s="3"/>
      <c r="L344" s="3"/>
    </row>
    <row r="345" spans="5:12" s="90" customFormat="1">
      <c r="E345" s="91"/>
      <c r="H345" s="2"/>
      <c r="I345" s="2"/>
      <c r="J345" s="3"/>
      <c r="K345" s="3"/>
      <c r="L345" s="3"/>
    </row>
    <row r="346" spans="5:12" s="90" customFormat="1">
      <c r="E346" s="91"/>
      <c r="H346" s="2"/>
      <c r="I346" s="2"/>
      <c r="J346" s="3"/>
      <c r="K346" s="3"/>
      <c r="L346" s="3"/>
    </row>
    <row r="347" spans="5:12" s="90" customFormat="1">
      <c r="E347" s="91"/>
      <c r="H347" s="2"/>
      <c r="I347" s="2"/>
      <c r="J347" s="3"/>
      <c r="K347" s="3"/>
      <c r="L347" s="3"/>
    </row>
    <row r="348" spans="5:12" s="90" customFormat="1">
      <c r="E348" s="91"/>
      <c r="H348" s="2"/>
      <c r="I348" s="2"/>
      <c r="J348" s="3"/>
      <c r="K348" s="3"/>
      <c r="L348" s="3"/>
    </row>
    <row r="349" spans="5:12" s="90" customFormat="1">
      <c r="E349" s="91"/>
      <c r="H349" s="2"/>
      <c r="I349" s="2"/>
      <c r="J349" s="3"/>
      <c r="K349" s="3"/>
      <c r="L349" s="3"/>
    </row>
    <row r="350" spans="5:12" s="90" customFormat="1">
      <c r="E350" s="91"/>
      <c r="H350" s="2"/>
      <c r="I350" s="2"/>
      <c r="J350" s="3"/>
      <c r="K350" s="3"/>
      <c r="L350" s="3"/>
    </row>
    <row r="351" spans="5:12" s="90" customFormat="1">
      <c r="E351" s="91"/>
      <c r="H351" s="2"/>
      <c r="I351" s="2"/>
      <c r="J351" s="3"/>
      <c r="K351" s="3"/>
      <c r="L351" s="3"/>
    </row>
    <row r="352" spans="5:12" s="90" customFormat="1">
      <c r="E352" s="91"/>
      <c r="H352" s="2"/>
      <c r="I352" s="2"/>
      <c r="J352" s="3"/>
      <c r="K352" s="3"/>
      <c r="L352" s="3"/>
    </row>
    <row r="353" spans="5:12" s="90" customFormat="1">
      <c r="E353" s="91"/>
      <c r="H353" s="2"/>
      <c r="I353" s="2"/>
      <c r="J353" s="3"/>
      <c r="K353" s="3"/>
      <c r="L353" s="3"/>
    </row>
    <row r="354" spans="5:12" s="90" customFormat="1">
      <c r="E354" s="91"/>
      <c r="H354" s="2"/>
      <c r="I354" s="2"/>
      <c r="J354" s="3"/>
      <c r="K354" s="3"/>
      <c r="L354" s="3"/>
    </row>
    <row r="355" spans="5:12" s="90" customFormat="1">
      <c r="E355" s="91"/>
      <c r="H355" s="2"/>
      <c r="I355" s="2"/>
      <c r="J355" s="3"/>
      <c r="K355" s="3"/>
      <c r="L355" s="3"/>
    </row>
    <row r="356" spans="5:12" s="90" customFormat="1">
      <c r="E356" s="91"/>
      <c r="H356" s="2"/>
      <c r="I356" s="2"/>
      <c r="J356" s="3"/>
      <c r="K356" s="3"/>
      <c r="L356" s="3"/>
    </row>
    <row r="357" spans="5:12" s="90" customFormat="1">
      <c r="E357" s="91"/>
      <c r="H357" s="2"/>
      <c r="I357" s="2"/>
      <c r="J357" s="3"/>
      <c r="K357" s="3"/>
      <c r="L357" s="3"/>
    </row>
    <row r="358" spans="5:12" s="90" customFormat="1">
      <c r="E358" s="91"/>
      <c r="H358" s="2"/>
      <c r="I358" s="2"/>
      <c r="J358" s="3"/>
      <c r="K358" s="3"/>
      <c r="L358" s="3"/>
    </row>
    <row r="359" spans="5:12" s="90" customFormat="1">
      <c r="E359" s="91"/>
      <c r="H359" s="2"/>
      <c r="I359" s="2"/>
      <c r="J359" s="3"/>
      <c r="K359" s="3"/>
      <c r="L359" s="3"/>
    </row>
    <row r="360" spans="5:12" s="90" customFormat="1">
      <c r="E360" s="91"/>
      <c r="H360" s="2"/>
      <c r="I360" s="2"/>
      <c r="J360" s="3"/>
      <c r="K360" s="3"/>
      <c r="L360" s="3"/>
    </row>
    <row r="361" spans="5:12" s="90" customFormat="1">
      <c r="E361" s="91"/>
      <c r="H361" s="2"/>
      <c r="I361" s="2"/>
      <c r="J361" s="3"/>
      <c r="K361" s="3"/>
      <c r="L361" s="3"/>
    </row>
    <row r="362" spans="5:12" s="90" customFormat="1">
      <c r="E362" s="91"/>
      <c r="H362" s="2"/>
      <c r="I362" s="2"/>
      <c r="J362" s="3"/>
      <c r="K362" s="3"/>
      <c r="L362" s="3"/>
    </row>
    <row r="363" spans="5:12" s="90" customFormat="1">
      <c r="E363" s="91"/>
      <c r="H363" s="2"/>
      <c r="I363" s="2"/>
      <c r="J363" s="3"/>
      <c r="K363" s="3"/>
      <c r="L363" s="3"/>
    </row>
    <row r="364" spans="5:12" s="90" customFormat="1">
      <c r="E364" s="91"/>
      <c r="H364" s="2"/>
      <c r="I364" s="2"/>
      <c r="J364" s="3"/>
      <c r="K364" s="3"/>
      <c r="L364" s="3"/>
    </row>
    <row r="365" spans="5:12" s="90" customFormat="1">
      <c r="E365" s="91"/>
      <c r="H365" s="2"/>
      <c r="I365" s="2"/>
      <c r="J365" s="3"/>
      <c r="K365" s="3"/>
      <c r="L365" s="3"/>
    </row>
    <row r="366" spans="5:12" s="90" customFormat="1">
      <c r="E366" s="91"/>
      <c r="H366" s="2"/>
      <c r="I366" s="2"/>
      <c r="J366" s="3"/>
      <c r="K366" s="3"/>
      <c r="L366" s="3"/>
    </row>
    <row r="367" spans="5:12" s="90" customFormat="1">
      <c r="E367" s="91"/>
      <c r="H367" s="2"/>
      <c r="I367" s="2"/>
      <c r="J367" s="3"/>
      <c r="K367" s="3"/>
      <c r="L367" s="3"/>
    </row>
    <row r="368" spans="5:12" s="90" customFormat="1">
      <c r="E368" s="91"/>
      <c r="H368" s="2"/>
      <c r="I368" s="2"/>
      <c r="J368" s="3"/>
      <c r="K368" s="3"/>
      <c r="L368" s="3"/>
    </row>
    <row r="369" spans="5:12" s="90" customFormat="1">
      <c r="E369" s="91"/>
      <c r="H369" s="2"/>
      <c r="I369" s="2"/>
      <c r="J369" s="3"/>
      <c r="K369" s="3"/>
      <c r="L369" s="3"/>
    </row>
    <row r="370" spans="5:12" s="90" customFormat="1">
      <c r="E370" s="91"/>
      <c r="H370" s="2"/>
      <c r="I370" s="2"/>
      <c r="J370" s="3"/>
      <c r="K370" s="3"/>
      <c r="L370" s="3"/>
    </row>
    <row r="371" spans="5:12" s="90" customFormat="1">
      <c r="E371" s="91"/>
      <c r="H371" s="2"/>
      <c r="I371" s="2"/>
      <c r="J371" s="3"/>
      <c r="K371" s="3"/>
      <c r="L371" s="3"/>
    </row>
    <row r="372" spans="5:12" s="90" customFormat="1">
      <c r="E372" s="91"/>
      <c r="H372" s="2"/>
      <c r="I372" s="2"/>
      <c r="J372" s="3"/>
      <c r="K372" s="3"/>
      <c r="L372" s="3"/>
    </row>
    <row r="373" spans="5:12" s="90" customFormat="1">
      <c r="E373" s="91"/>
      <c r="H373" s="2"/>
      <c r="I373" s="2"/>
      <c r="J373" s="3"/>
      <c r="K373" s="3"/>
      <c r="L373" s="3"/>
    </row>
    <row r="374" spans="5:12" s="90" customFormat="1">
      <c r="E374" s="91"/>
      <c r="H374" s="2"/>
      <c r="I374" s="2"/>
      <c r="J374" s="3"/>
      <c r="K374" s="3"/>
      <c r="L374" s="3"/>
    </row>
    <row r="375" spans="5:12" s="90" customFormat="1">
      <c r="E375" s="91"/>
      <c r="H375" s="2"/>
      <c r="I375" s="2"/>
      <c r="J375" s="3"/>
      <c r="K375" s="3"/>
      <c r="L375" s="3"/>
    </row>
    <row r="376" spans="5:12" s="90" customFormat="1">
      <c r="E376" s="91"/>
      <c r="H376" s="2"/>
      <c r="I376" s="2"/>
      <c r="J376" s="3"/>
      <c r="K376" s="3"/>
      <c r="L376" s="3"/>
    </row>
    <row r="377" spans="5:12" s="90" customFormat="1">
      <c r="E377" s="91"/>
      <c r="H377" s="2"/>
      <c r="I377" s="2"/>
      <c r="J377" s="3"/>
      <c r="K377" s="3"/>
      <c r="L377" s="3"/>
    </row>
    <row r="378" spans="5:12" s="90" customFormat="1">
      <c r="E378" s="91"/>
      <c r="H378" s="2"/>
      <c r="I378" s="2"/>
      <c r="J378" s="3"/>
      <c r="K378" s="3"/>
      <c r="L378" s="3"/>
    </row>
    <row r="379" spans="5:12" s="90" customFormat="1">
      <c r="E379" s="91"/>
      <c r="H379" s="2"/>
      <c r="I379" s="2"/>
      <c r="J379" s="3"/>
      <c r="K379" s="3"/>
      <c r="L379" s="3"/>
    </row>
    <row r="380" spans="5:12" s="90" customFormat="1">
      <c r="E380" s="91"/>
      <c r="H380" s="2"/>
      <c r="I380" s="2"/>
      <c r="J380" s="3"/>
      <c r="K380" s="3"/>
      <c r="L380" s="3"/>
    </row>
    <row r="381" spans="5:12" s="90" customFormat="1">
      <c r="E381" s="91"/>
      <c r="H381" s="2"/>
      <c r="I381" s="2"/>
      <c r="J381" s="3"/>
      <c r="K381" s="3"/>
      <c r="L381" s="3"/>
    </row>
    <row r="382" spans="5:12" s="90" customFormat="1">
      <c r="E382" s="91"/>
      <c r="H382" s="2"/>
      <c r="I382" s="2"/>
      <c r="J382" s="3"/>
      <c r="K382" s="3"/>
      <c r="L382" s="3"/>
    </row>
    <row r="383" spans="5:12" s="90" customFormat="1">
      <c r="E383" s="91"/>
      <c r="H383" s="2"/>
      <c r="I383" s="2"/>
      <c r="J383" s="3"/>
      <c r="K383" s="3"/>
      <c r="L383" s="3"/>
    </row>
    <row r="384" spans="5:12" s="90" customFormat="1">
      <c r="E384" s="91"/>
      <c r="H384" s="2"/>
      <c r="I384" s="2"/>
      <c r="J384" s="3"/>
      <c r="K384" s="3"/>
      <c r="L384" s="3"/>
    </row>
    <row r="385" spans="5:12" s="90" customFormat="1">
      <c r="E385" s="91"/>
      <c r="H385" s="2"/>
      <c r="I385" s="2"/>
      <c r="J385" s="3"/>
      <c r="K385" s="3"/>
      <c r="L385" s="3"/>
    </row>
    <row r="386" spans="5:12" s="90" customFormat="1">
      <c r="E386" s="91"/>
      <c r="H386" s="2"/>
      <c r="I386" s="2"/>
      <c r="J386" s="3"/>
      <c r="K386" s="3"/>
      <c r="L386" s="3"/>
    </row>
    <row r="387" spans="5:12" s="90" customFormat="1">
      <c r="E387" s="91"/>
      <c r="H387" s="2"/>
      <c r="I387" s="2"/>
      <c r="J387" s="3"/>
      <c r="K387" s="3"/>
      <c r="L387" s="3"/>
    </row>
    <row r="388" spans="5:12" s="90" customFormat="1">
      <c r="E388" s="91"/>
      <c r="H388" s="2"/>
      <c r="I388" s="2"/>
      <c r="J388" s="3"/>
      <c r="K388" s="3"/>
      <c r="L388" s="3"/>
    </row>
    <row r="389" spans="5:12" s="90" customFormat="1">
      <c r="E389" s="91"/>
      <c r="H389" s="2"/>
      <c r="I389" s="2"/>
      <c r="J389" s="3"/>
      <c r="K389" s="3"/>
      <c r="L389" s="3"/>
    </row>
    <row r="390" spans="5:12" s="90" customFormat="1">
      <c r="E390" s="91"/>
      <c r="H390" s="2"/>
      <c r="I390" s="2"/>
      <c r="J390" s="3"/>
      <c r="K390" s="3"/>
      <c r="L390" s="3"/>
    </row>
    <row r="391" spans="5:12" s="90" customFormat="1">
      <c r="E391" s="91"/>
      <c r="H391" s="2"/>
      <c r="I391" s="2"/>
      <c r="J391" s="3"/>
      <c r="K391" s="3"/>
      <c r="L391" s="3"/>
    </row>
    <row r="392" spans="5:12" s="90" customFormat="1">
      <c r="E392" s="91"/>
      <c r="H392" s="2"/>
      <c r="I392" s="2"/>
      <c r="J392" s="3"/>
      <c r="K392" s="3"/>
      <c r="L392" s="3"/>
    </row>
    <row r="393" spans="5:12" s="90" customFormat="1">
      <c r="E393" s="91"/>
      <c r="H393" s="2"/>
      <c r="I393" s="2"/>
      <c r="J393" s="3"/>
      <c r="K393" s="3"/>
      <c r="L393" s="3"/>
    </row>
    <row r="394" spans="5:12" s="90" customFormat="1">
      <c r="E394" s="91"/>
      <c r="H394" s="2"/>
      <c r="I394" s="2"/>
      <c r="J394" s="3"/>
      <c r="K394" s="3"/>
      <c r="L394" s="3"/>
    </row>
    <row r="395" spans="5:12" s="90" customFormat="1">
      <c r="E395" s="91"/>
      <c r="H395" s="2"/>
      <c r="I395" s="2"/>
      <c r="J395" s="3"/>
      <c r="K395" s="3"/>
      <c r="L395" s="3"/>
    </row>
    <row r="396" spans="5:12" s="90" customFormat="1">
      <c r="E396" s="91"/>
      <c r="H396" s="2"/>
      <c r="I396" s="2"/>
      <c r="J396" s="3"/>
      <c r="K396" s="3"/>
      <c r="L396" s="3"/>
    </row>
    <row r="397" spans="5:12" s="90" customFormat="1">
      <c r="E397" s="91"/>
      <c r="H397" s="2"/>
      <c r="I397" s="2"/>
      <c r="J397" s="3"/>
      <c r="K397" s="3"/>
      <c r="L397" s="3"/>
    </row>
    <row r="398" spans="5:12" s="90" customFormat="1">
      <c r="E398" s="91"/>
      <c r="H398" s="2"/>
      <c r="I398" s="2"/>
      <c r="J398" s="3"/>
      <c r="K398" s="3"/>
      <c r="L398" s="3"/>
    </row>
    <row r="399" spans="5:12" s="90" customFormat="1">
      <c r="E399" s="91"/>
      <c r="H399" s="2"/>
      <c r="I399" s="2"/>
      <c r="J399" s="3"/>
      <c r="K399" s="3"/>
      <c r="L399" s="3"/>
    </row>
    <row r="400" spans="5:12" s="90" customFormat="1">
      <c r="E400" s="91"/>
      <c r="H400" s="2"/>
      <c r="I400" s="2"/>
      <c r="J400" s="3"/>
      <c r="K400" s="3"/>
      <c r="L400" s="3"/>
    </row>
    <row r="401" spans="1:12" s="90" customFormat="1">
      <c r="E401" s="91"/>
      <c r="H401" s="2"/>
      <c r="I401" s="2"/>
      <c r="J401" s="3"/>
      <c r="K401" s="3"/>
      <c r="L401" s="3"/>
    </row>
    <row r="402" spans="1:12">
      <c r="A402" s="90"/>
      <c r="B402" s="90"/>
      <c r="C402" s="90"/>
      <c r="D402" s="90"/>
      <c r="E402" s="91"/>
      <c r="F402" s="90"/>
      <c r="G402" s="90"/>
    </row>
  </sheetData>
  <mergeCells count="11">
    <mergeCell ref="A81:G81"/>
    <mergeCell ref="A83:G83"/>
    <mergeCell ref="A7:G7"/>
    <mergeCell ref="A77:G77"/>
    <mergeCell ref="A78:G78"/>
    <mergeCell ref="A6:G6"/>
    <mergeCell ref="A1:G1"/>
    <mergeCell ref="E2:G2"/>
    <mergeCell ref="E3:G3"/>
    <mergeCell ref="E4:G4"/>
    <mergeCell ref="E5:G5"/>
  </mergeCells>
  <phoneticPr fontId="13" type="noConversion"/>
  <pageMargins left="0.52" right="0.35433070866141736" top="0.31" bottom="0.35" header="0.31496062992125984" footer="0.31496062992125984"/>
  <pageSetup paperSize="9" scale="69" orientation="portrait" r:id="rId1"/>
  <rowBreaks count="1" manualBreakCount="1">
    <brk id="37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78BB9-2646-4084-895A-E05B68A90D7D}">
  <dimension ref="A1:K299"/>
  <sheetViews>
    <sheetView view="pageBreakPreview" topLeftCell="A35" zoomScaleNormal="100" zoomScaleSheetLayoutView="100" workbookViewId="0">
      <selection activeCell="B41" sqref="B41"/>
    </sheetView>
  </sheetViews>
  <sheetFormatPr defaultColWidth="9.109375" defaultRowHeight="13.8"/>
  <cols>
    <col min="1" max="1" width="7.6640625" style="94" customWidth="1"/>
    <col min="2" max="2" width="67" style="94" customWidth="1"/>
    <col min="3" max="3" width="8.44140625" style="79" customWidth="1"/>
    <col min="4" max="4" width="13.88671875" style="120" customWidth="1"/>
    <col min="5" max="6" width="9" style="120" customWidth="1"/>
    <col min="7" max="7" width="11.33203125" style="120" customWidth="1"/>
    <col min="8" max="8" width="9.44140625" style="120" customWidth="1"/>
    <col min="9" max="256" width="9.109375" style="94"/>
    <col min="257" max="257" width="7.6640625" style="94" customWidth="1"/>
    <col min="258" max="258" width="67" style="94" customWidth="1"/>
    <col min="259" max="259" width="8.44140625" style="94" customWidth="1"/>
    <col min="260" max="260" width="13.88671875" style="94" customWidth="1"/>
    <col min="261" max="262" width="9" style="94" customWidth="1"/>
    <col min="263" max="263" width="11.33203125" style="94" customWidth="1"/>
    <col min="264" max="264" width="9.44140625" style="94" customWidth="1"/>
    <col min="265" max="512" width="9.109375" style="94"/>
    <col min="513" max="513" width="7.6640625" style="94" customWidth="1"/>
    <col min="514" max="514" width="67" style="94" customWidth="1"/>
    <col min="515" max="515" width="8.44140625" style="94" customWidth="1"/>
    <col min="516" max="516" width="13.88671875" style="94" customWidth="1"/>
    <col min="517" max="518" width="9" style="94" customWidth="1"/>
    <col min="519" max="519" width="11.33203125" style="94" customWidth="1"/>
    <col min="520" max="520" width="9.44140625" style="94" customWidth="1"/>
    <col min="521" max="768" width="9.109375" style="94"/>
    <col min="769" max="769" width="7.6640625" style="94" customWidth="1"/>
    <col min="770" max="770" width="67" style="94" customWidth="1"/>
    <col min="771" max="771" width="8.44140625" style="94" customWidth="1"/>
    <col min="772" max="772" width="13.88671875" style="94" customWidth="1"/>
    <col min="773" max="774" width="9" style="94" customWidth="1"/>
    <col min="775" max="775" width="11.33203125" style="94" customWidth="1"/>
    <col min="776" max="776" width="9.44140625" style="94" customWidth="1"/>
    <col min="777" max="1024" width="9.109375" style="94"/>
    <col min="1025" max="1025" width="7.6640625" style="94" customWidth="1"/>
    <col min="1026" max="1026" width="67" style="94" customWidth="1"/>
    <col min="1027" max="1027" width="8.44140625" style="94" customWidth="1"/>
    <col min="1028" max="1028" width="13.88671875" style="94" customWidth="1"/>
    <col min="1029" max="1030" width="9" style="94" customWidth="1"/>
    <col min="1031" max="1031" width="11.33203125" style="94" customWidth="1"/>
    <col min="1032" max="1032" width="9.44140625" style="94" customWidth="1"/>
    <col min="1033" max="1280" width="9.109375" style="94"/>
    <col min="1281" max="1281" width="7.6640625" style="94" customWidth="1"/>
    <col min="1282" max="1282" width="67" style="94" customWidth="1"/>
    <col min="1283" max="1283" width="8.44140625" style="94" customWidth="1"/>
    <col min="1284" max="1284" width="13.88671875" style="94" customWidth="1"/>
    <col min="1285" max="1286" width="9" style="94" customWidth="1"/>
    <col min="1287" max="1287" width="11.33203125" style="94" customWidth="1"/>
    <col min="1288" max="1288" width="9.44140625" style="94" customWidth="1"/>
    <col min="1289" max="1536" width="9.109375" style="94"/>
    <col min="1537" max="1537" width="7.6640625" style="94" customWidth="1"/>
    <col min="1538" max="1538" width="67" style="94" customWidth="1"/>
    <col min="1539" max="1539" width="8.44140625" style="94" customWidth="1"/>
    <col min="1540" max="1540" width="13.88671875" style="94" customWidth="1"/>
    <col min="1541" max="1542" width="9" style="94" customWidth="1"/>
    <col min="1543" max="1543" width="11.33203125" style="94" customWidth="1"/>
    <col min="1544" max="1544" width="9.44140625" style="94" customWidth="1"/>
    <col min="1545" max="1792" width="9.109375" style="94"/>
    <col min="1793" max="1793" width="7.6640625" style="94" customWidth="1"/>
    <col min="1794" max="1794" width="67" style="94" customWidth="1"/>
    <col min="1795" max="1795" width="8.44140625" style="94" customWidth="1"/>
    <col min="1796" max="1796" width="13.88671875" style="94" customWidth="1"/>
    <col min="1797" max="1798" width="9" style="94" customWidth="1"/>
    <col min="1799" max="1799" width="11.33203125" style="94" customWidth="1"/>
    <col min="1800" max="1800" width="9.44140625" style="94" customWidth="1"/>
    <col min="1801" max="2048" width="9.109375" style="94"/>
    <col min="2049" max="2049" width="7.6640625" style="94" customWidth="1"/>
    <col min="2050" max="2050" width="67" style="94" customWidth="1"/>
    <col min="2051" max="2051" width="8.44140625" style="94" customWidth="1"/>
    <col min="2052" max="2052" width="13.88671875" style="94" customWidth="1"/>
    <col min="2053" max="2054" width="9" style="94" customWidth="1"/>
    <col min="2055" max="2055" width="11.33203125" style="94" customWidth="1"/>
    <col min="2056" max="2056" width="9.44140625" style="94" customWidth="1"/>
    <col min="2057" max="2304" width="9.109375" style="94"/>
    <col min="2305" max="2305" width="7.6640625" style="94" customWidth="1"/>
    <col min="2306" max="2306" width="67" style="94" customWidth="1"/>
    <col min="2307" max="2307" width="8.44140625" style="94" customWidth="1"/>
    <col min="2308" max="2308" width="13.88671875" style="94" customWidth="1"/>
    <col min="2309" max="2310" width="9" style="94" customWidth="1"/>
    <col min="2311" max="2311" width="11.33203125" style="94" customWidth="1"/>
    <col min="2312" max="2312" width="9.44140625" style="94" customWidth="1"/>
    <col min="2313" max="2560" width="9.109375" style="94"/>
    <col min="2561" max="2561" width="7.6640625" style="94" customWidth="1"/>
    <col min="2562" max="2562" width="67" style="94" customWidth="1"/>
    <col min="2563" max="2563" width="8.44140625" style="94" customWidth="1"/>
    <col min="2564" max="2564" width="13.88671875" style="94" customWidth="1"/>
    <col min="2565" max="2566" width="9" style="94" customWidth="1"/>
    <col min="2567" max="2567" width="11.33203125" style="94" customWidth="1"/>
    <col min="2568" max="2568" width="9.44140625" style="94" customWidth="1"/>
    <col min="2569" max="2816" width="9.109375" style="94"/>
    <col min="2817" max="2817" width="7.6640625" style="94" customWidth="1"/>
    <col min="2818" max="2818" width="67" style="94" customWidth="1"/>
    <col min="2819" max="2819" width="8.44140625" style="94" customWidth="1"/>
    <col min="2820" max="2820" width="13.88671875" style="94" customWidth="1"/>
    <col min="2821" max="2822" width="9" style="94" customWidth="1"/>
    <col min="2823" max="2823" width="11.33203125" style="94" customWidth="1"/>
    <col min="2824" max="2824" width="9.44140625" style="94" customWidth="1"/>
    <col min="2825" max="3072" width="9.109375" style="94"/>
    <col min="3073" max="3073" width="7.6640625" style="94" customWidth="1"/>
    <col min="3074" max="3074" width="67" style="94" customWidth="1"/>
    <col min="3075" max="3075" width="8.44140625" style="94" customWidth="1"/>
    <col min="3076" max="3076" width="13.88671875" style="94" customWidth="1"/>
    <col min="3077" max="3078" width="9" style="94" customWidth="1"/>
    <col min="3079" max="3079" width="11.33203125" style="94" customWidth="1"/>
    <col min="3080" max="3080" width="9.44140625" style="94" customWidth="1"/>
    <col min="3081" max="3328" width="9.109375" style="94"/>
    <col min="3329" max="3329" width="7.6640625" style="94" customWidth="1"/>
    <col min="3330" max="3330" width="67" style="94" customWidth="1"/>
    <col min="3331" max="3331" width="8.44140625" style="94" customWidth="1"/>
    <col min="3332" max="3332" width="13.88671875" style="94" customWidth="1"/>
    <col min="3333" max="3334" width="9" style="94" customWidth="1"/>
    <col min="3335" max="3335" width="11.33203125" style="94" customWidth="1"/>
    <col min="3336" max="3336" width="9.44140625" style="94" customWidth="1"/>
    <col min="3337" max="3584" width="9.109375" style="94"/>
    <col min="3585" max="3585" width="7.6640625" style="94" customWidth="1"/>
    <col min="3586" max="3586" width="67" style="94" customWidth="1"/>
    <col min="3587" max="3587" width="8.44140625" style="94" customWidth="1"/>
    <col min="3588" max="3588" width="13.88671875" style="94" customWidth="1"/>
    <col min="3589" max="3590" width="9" style="94" customWidth="1"/>
    <col min="3591" max="3591" width="11.33203125" style="94" customWidth="1"/>
    <col min="3592" max="3592" width="9.44140625" style="94" customWidth="1"/>
    <col min="3593" max="3840" width="9.109375" style="94"/>
    <col min="3841" max="3841" width="7.6640625" style="94" customWidth="1"/>
    <col min="3842" max="3842" width="67" style="94" customWidth="1"/>
    <col min="3843" max="3843" width="8.44140625" style="94" customWidth="1"/>
    <col min="3844" max="3844" width="13.88671875" style="94" customWidth="1"/>
    <col min="3845" max="3846" width="9" style="94" customWidth="1"/>
    <col min="3847" max="3847" width="11.33203125" style="94" customWidth="1"/>
    <col min="3848" max="3848" width="9.44140625" style="94" customWidth="1"/>
    <col min="3849" max="4096" width="9.109375" style="94"/>
    <col min="4097" max="4097" width="7.6640625" style="94" customWidth="1"/>
    <col min="4098" max="4098" width="67" style="94" customWidth="1"/>
    <col min="4099" max="4099" width="8.44140625" style="94" customWidth="1"/>
    <col min="4100" max="4100" width="13.88671875" style="94" customWidth="1"/>
    <col min="4101" max="4102" width="9" style="94" customWidth="1"/>
    <col min="4103" max="4103" width="11.33203125" style="94" customWidth="1"/>
    <col min="4104" max="4104" width="9.44140625" style="94" customWidth="1"/>
    <col min="4105" max="4352" width="9.109375" style="94"/>
    <col min="4353" max="4353" width="7.6640625" style="94" customWidth="1"/>
    <col min="4354" max="4354" width="67" style="94" customWidth="1"/>
    <col min="4355" max="4355" width="8.44140625" style="94" customWidth="1"/>
    <col min="4356" max="4356" width="13.88671875" style="94" customWidth="1"/>
    <col min="4357" max="4358" width="9" style="94" customWidth="1"/>
    <col min="4359" max="4359" width="11.33203125" style="94" customWidth="1"/>
    <col min="4360" max="4360" width="9.44140625" style="94" customWidth="1"/>
    <col min="4361" max="4608" width="9.109375" style="94"/>
    <col min="4609" max="4609" width="7.6640625" style="94" customWidth="1"/>
    <col min="4610" max="4610" width="67" style="94" customWidth="1"/>
    <col min="4611" max="4611" width="8.44140625" style="94" customWidth="1"/>
    <col min="4612" max="4612" width="13.88671875" style="94" customWidth="1"/>
    <col min="4613" max="4614" width="9" style="94" customWidth="1"/>
    <col min="4615" max="4615" width="11.33203125" style="94" customWidth="1"/>
    <col min="4616" max="4616" width="9.44140625" style="94" customWidth="1"/>
    <col min="4617" max="4864" width="9.109375" style="94"/>
    <col min="4865" max="4865" width="7.6640625" style="94" customWidth="1"/>
    <col min="4866" max="4866" width="67" style="94" customWidth="1"/>
    <col min="4867" max="4867" width="8.44140625" style="94" customWidth="1"/>
    <col min="4868" max="4868" width="13.88671875" style="94" customWidth="1"/>
    <col min="4869" max="4870" width="9" style="94" customWidth="1"/>
    <col min="4871" max="4871" width="11.33203125" style="94" customWidth="1"/>
    <col min="4872" max="4872" width="9.44140625" style="94" customWidth="1"/>
    <col min="4873" max="5120" width="9.109375" style="94"/>
    <col min="5121" max="5121" width="7.6640625" style="94" customWidth="1"/>
    <col min="5122" max="5122" width="67" style="94" customWidth="1"/>
    <col min="5123" max="5123" width="8.44140625" style="94" customWidth="1"/>
    <col min="5124" max="5124" width="13.88671875" style="94" customWidth="1"/>
    <col min="5125" max="5126" width="9" style="94" customWidth="1"/>
    <col min="5127" max="5127" width="11.33203125" style="94" customWidth="1"/>
    <col min="5128" max="5128" width="9.44140625" style="94" customWidth="1"/>
    <col min="5129" max="5376" width="9.109375" style="94"/>
    <col min="5377" max="5377" width="7.6640625" style="94" customWidth="1"/>
    <col min="5378" max="5378" width="67" style="94" customWidth="1"/>
    <col min="5379" max="5379" width="8.44140625" style="94" customWidth="1"/>
    <col min="5380" max="5380" width="13.88671875" style="94" customWidth="1"/>
    <col min="5381" max="5382" width="9" style="94" customWidth="1"/>
    <col min="5383" max="5383" width="11.33203125" style="94" customWidth="1"/>
    <col min="5384" max="5384" width="9.44140625" style="94" customWidth="1"/>
    <col min="5385" max="5632" width="9.109375" style="94"/>
    <col min="5633" max="5633" width="7.6640625" style="94" customWidth="1"/>
    <col min="5634" max="5634" width="67" style="94" customWidth="1"/>
    <col min="5635" max="5635" width="8.44140625" style="94" customWidth="1"/>
    <col min="5636" max="5636" width="13.88671875" style="94" customWidth="1"/>
    <col min="5637" max="5638" width="9" style="94" customWidth="1"/>
    <col min="5639" max="5639" width="11.33203125" style="94" customWidth="1"/>
    <col min="5640" max="5640" width="9.44140625" style="94" customWidth="1"/>
    <col min="5641" max="5888" width="9.109375" style="94"/>
    <col min="5889" max="5889" width="7.6640625" style="94" customWidth="1"/>
    <col min="5890" max="5890" width="67" style="94" customWidth="1"/>
    <col min="5891" max="5891" width="8.44140625" style="94" customWidth="1"/>
    <col min="5892" max="5892" width="13.88671875" style="94" customWidth="1"/>
    <col min="5893" max="5894" width="9" style="94" customWidth="1"/>
    <col min="5895" max="5895" width="11.33203125" style="94" customWidth="1"/>
    <col min="5896" max="5896" width="9.44140625" style="94" customWidth="1"/>
    <col min="5897" max="6144" width="9.109375" style="94"/>
    <col min="6145" max="6145" width="7.6640625" style="94" customWidth="1"/>
    <col min="6146" max="6146" width="67" style="94" customWidth="1"/>
    <col min="6147" max="6147" width="8.44140625" style="94" customWidth="1"/>
    <col min="6148" max="6148" width="13.88671875" style="94" customWidth="1"/>
    <col min="6149" max="6150" width="9" style="94" customWidth="1"/>
    <col min="6151" max="6151" width="11.33203125" style="94" customWidth="1"/>
    <col min="6152" max="6152" width="9.44140625" style="94" customWidth="1"/>
    <col min="6153" max="6400" width="9.109375" style="94"/>
    <col min="6401" max="6401" width="7.6640625" style="94" customWidth="1"/>
    <col min="6402" max="6402" width="67" style="94" customWidth="1"/>
    <col min="6403" max="6403" width="8.44140625" style="94" customWidth="1"/>
    <col min="6404" max="6404" width="13.88671875" style="94" customWidth="1"/>
    <col min="6405" max="6406" width="9" style="94" customWidth="1"/>
    <col min="6407" max="6407" width="11.33203125" style="94" customWidth="1"/>
    <col min="6408" max="6408" width="9.44140625" style="94" customWidth="1"/>
    <col min="6409" max="6656" width="9.109375" style="94"/>
    <col min="6657" max="6657" width="7.6640625" style="94" customWidth="1"/>
    <col min="6658" max="6658" width="67" style="94" customWidth="1"/>
    <col min="6659" max="6659" width="8.44140625" style="94" customWidth="1"/>
    <col min="6660" max="6660" width="13.88671875" style="94" customWidth="1"/>
    <col min="6661" max="6662" width="9" style="94" customWidth="1"/>
    <col min="6663" max="6663" width="11.33203125" style="94" customWidth="1"/>
    <col min="6664" max="6664" width="9.44140625" style="94" customWidth="1"/>
    <col min="6665" max="6912" width="9.109375" style="94"/>
    <col min="6913" max="6913" width="7.6640625" style="94" customWidth="1"/>
    <col min="6914" max="6914" width="67" style="94" customWidth="1"/>
    <col min="6915" max="6915" width="8.44140625" style="94" customWidth="1"/>
    <col min="6916" max="6916" width="13.88671875" style="94" customWidth="1"/>
    <col min="6917" max="6918" width="9" style="94" customWidth="1"/>
    <col min="6919" max="6919" width="11.33203125" style="94" customWidth="1"/>
    <col min="6920" max="6920" width="9.44140625" style="94" customWidth="1"/>
    <col min="6921" max="7168" width="9.109375" style="94"/>
    <col min="7169" max="7169" width="7.6640625" style="94" customWidth="1"/>
    <col min="7170" max="7170" width="67" style="94" customWidth="1"/>
    <col min="7171" max="7171" width="8.44140625" style="94" customWidth="1"/>
    <col min="7172" max="7172" width="13.88671875" style="94" customWidth="1"/>
    <col min="7173" max="7174" width="9" style="94" customWidth="1"/>
    <col min="7175" max="7175" width="11.33203125" style="94" customWidth="1"/>
    <col min="7176" max="7176" width="9.44140625" style="94" customWidth="1"/>
    <col min="7177" max="7424" width="9.109375" style="94"/>
    <col min="7425" max="7425" width="7.6640625" style="94" customWidth="1"/>
    <col min="7426" max="7426" width="67" style="94" customWidth="1"/>
    <col min="7427" max="7427" width="8.44140625" style="94" customWidth="1"/>
    <col min="7428" max="7428" width="13.88671875" style="94" customWidth="1"/>
    <col min="7429" max="7430" width="9" style="94" customWidth="1"/>
    <col min="7431" max="7431" width="11.33203125" style="94" customWidth="1"/>
    <col min="7432" max="7432" width="9.44140625" style="94" customWidth="1"/>
    <col min="7433" max="7680" width="9.109375" style="94"/>
    <col min="7681" max="7681" width="7.6640625" style="94" customWidth="1"/>
    <col min="7682" max="7682" width="67" style="94" customWidth="1"/>
    <col min="7683" max="7683" width="8.44140625" style="94" customWidth="1"/>
    <col min="7684" max="7684" width="13.88671875" style="94" customWidth="1"/>
    <col min="7685" max="7686" width="9" style="94" customWidth="1"/>
    <col min="7687" max="7687" width="11.33203125" style="94" customWidth="1"/>
    <col min="7688" max="7688" width="9.44140625" style="94" customWidth="1"/>
    <col min="7689" max="7936" width="9.109375" style="94"/>
    <col min="7937" max="7937" width="7.6640625" style="94" customWidth="1"/>
    <col min="7938" max="7938" width="67" style="94" customWidth="1"/>
    <col min="7939" max="7939" width="8.44140625" style="94" customWidth="1"/>
    <col min="7940" max="7940" width="13.88671875" style="94" customWidth="1"/>
    <col min="7941" max="7942" width="9" style="94" customWidth="1"/>
    <col min="7943" max="7943" width="11.33203125" style="94" customWidth="1"/>
    <col min="7944" max="7944" width="9.44140625" style="94" customWidth="1"/>
    <col min="7945" max="8192" width="9.109375" style="94"/>
    <col min="8193" max="8193" width="7.6640625" style="94" customWidth="1"/>
    <col min="8194" max="8194" width="67" style="94" customWidth="1"/>
    <col min="8195" max="8195" width="8.44140625" style="94" customWidth="1"/>
    <col min="8196" max="8196" width="13.88671875" style="94" customWidth="1"/>
    <col min="8197" max="8198" width="9" style="94" customWidth="1"/>
    <col min="8199" max="8199" width="11.33203125" style="94" customWidth="1"/>
    <col min="8200" max="8200" width="9.44140625" style="94" customWidth="1"/>
    <col min="8201" max="8448" width="9.109375" style="94"/>
    <col min="8449" max="8449" width="7.6640625" style="94" customWidth="1"/>
    <col min="8450" max="8450" width="67" style="94" customWidth="1"/>
    <col min="8451" max="8451" width="8.44140625" style="94" customWidth="1"/>
    <col min="8452" max="8452" width="13.88671875" style="94" customWidth="1"/>
    <col min="8453" max="8454" width="9" style="94" customWidth="1"/>
    <col min="8455" max="8455" width="11.33203125" style="94" customWidth="1"/>
    <col min="8456" max="8456" width="9.44140625" style="94" customWidth="1"/>
    <col min="8457" max="8704" width="9.109375" style="94"/>
    <col min="8705" max="8705" width="7.6640625" style="94" customWidth="1"/>
    <col min="8706" max="8706" width="67" style="94" customWidth="1"/>
    <col min="8707" max="8707" width="8.44140625" style="94" customWidth="1"/>
    <col min="8708" max="8708" width="13.88671875" style="94" customWidth="1"/>
    <col min="8709" max="8710" width="9" style="94" customWidth="1"/>
    <col min="8711" max="8711" width="11.33203125" style="94" customWidth="1"/>
    <col min="8712" max="8712" width="9.44140625" style="94" customWidth="1"/>
    <col min="8713" max="8960" width="9.109375" style="94"/>
    <col min="8961" max="8961" width="7.6640625" style="94" customWidth="1"/>
    <col min="8962" max="8962" width="67" style="94" customWidth="1"/>
    <col min="8963" max="8963" width="8.44140625" style="94" customWidth="1"/>
    <col min="8964" max="8964" width="13.88671875" style="94" customWidth="1"/>
    <col min="8965" max="8966" width="9" style="94" customWidth="1"/>
    <col min="8967" max="8967" width="11.33203125" style="94" customWidth="1"/>
    <col min="8968" max="8968" width="9.44140625" style="94" customWidth="1"/>
    <col min="8969" max="9216" width="9.109375" style="94"/>
    <col min="9217" max="9217" width="7.6640625" style="94" customWidth="1"/>
    <col min="9218" max="9218" width="67" style="94" customWidth="1"/>
    <col min="9219" max="9219" width="8.44140625" style="94" customWidth="1"/>
    <col min="9220" max="9220" width="13.88671875" style="94" customWidth="1"/>
    <col min="9221" max="9222" width="9" style="94" customWidth="1"/>
    <col min="9223" max="9223" width="11.33203125" style="94" customWidth="1"/>
    <col min="9224" max="9224" width="9.44140625" style="94" customWidth="1"/>
    <col min="9225" max="9472" width="9.109375" style="94"/>
    <col min="9473" max="9473" width="7.6640625" style="94" customWidth="1"/>
    <col min="9474" max="9474" width="67" style="94" customWidth="1"/>
    <col min="9475" max="9475" width="8.44140625" style="94" customWidth="1"/>
    <col min="9476" max="9476" width="13.88671875" style="94" customWidth="1"/>
    <col min="9477" max="9478" width="9" style="94" customWidth="1"/>
    <col min="9479" max="9479" width="11.33203125" style="94" customWidth="1"/>
    <col min="9480" max="9480" width="9.44140625" style="94" customWidth="1"/>
    <col min="9481" max="9728" width="9.109375" style="94"/>
    <col min="9729" max="9729" width="7.6640625" style="94" customWidth="1"/>
    <col min="9730" max="9730" width="67" style="94" customWidth="1"/>
    <col min="9731" max="9731" width="8.44140625" style="94" customWidth="1"/>
    <col min="9732" max="9732" width="13.88671875" style="94" customWidth="1"/>
    <col min="9733" max="9734" width="9" style="94" customWidth="1"/>
    <col min="9735" max="9735" width="11.33203125" style="94" customWidth="1"/>
    <col min="9736" max="9736" width="9.44140625" style="94" customWidth="1"/>
    <col min="9737" max="9984" width="9.109375" style="94"/>
    <col min="9985" max="9985" width="7.6640625" style="94" customWidth="1"/>
    <col min="9986" max="9986" width="67" style="94" customWidth="1"/>
    <col min="9987" max="9987" width="8.44140625" style="94" customWidth="1"/>
    <col min="9988" max="9988" width="13.88671875" style="94" customWidth="1"/>
    <col min="9989" max="9990" width="9" style="94" customWidth="1"/>
    <col min="9991" max="9991" width="11.33203125" style="94" customWidth="1"/>
    <col min="9992" max="9992" width="9.44140625" style="94" customWidth="1"/>
    <col min="9993" max="10240" width="9.109375" style="94"/>
    <col min="10241" max="10241" width="7.6640625" style="94" customWidth="1"/>
    <col min="10242" max="10242" width="67" style="94" customWidth="1"/>
    <col min="10243" max="10243" width="8.44140625" style="94" customWidth="1"/>
    <col min="10244" max="10244" width="13.88671875" style="94" customWidth="1"/>
    <col min="10245" max="10246" width="9" style="94" customWidth="1"/>
    <col min="10247" max="10247" width="11.33203125" style="94" customWidth="1"/>
    <col min="10248" max="10248" width="9.44140625" style="94" customWidth="1"/>
    <col min="10249" max="10496" width="9.109375" style="94"/>
    <col min="10497" max="10497" width="7.6640625" style="94" customWidth="1"/>
    <col min="10498" max="10498" width="67" style="94" customWidth="1"/>
    <col min="10499" max="10499" width="8.44140625" style="94" customWidth="1"/>
    <col min="10500" max="10500" width="13.88671875" style="94" customWidth="1"/>
    <col min="10501" max="10502" width="9" style="94" customWidth="1"/>
    <col min="10503" max="10503" width="11.33203125" style="94" customWidth="1"/>
    <col min="10504" max="10504" width="9.44140625" style="94" customWidth="1"/>
    <col min="10505" max="10752" width="9.109375" style="94"/>
    <col min="10753" max="10753" width="7.6640625" style="94" customWidth="1"/>
    <col min="10754" max="10754" width="67" style="94" customWidth="1"/>
    <col min="10755" max="10755" width="8.44140625" style="94" customWidth="1"/>
    <col min="10756" max="10756" width="13.88671875" style="94" customWidth="1"/>
    <col min="10757" max="10758" width="9" style="94" customWidth="1"/>
    <col min="10759" max="10759" width="11.33203125" style="94" customWidth="1"/>
    <col min="10760" max="10760" width="9.44140625" style="94" customWidth="1"/>
    <col min="10761" max="11008" width="9.109375" style="94"/>
    <col min="11009" max="11009" width="7.6640625" style="94" customWidth="1"/>
    <col min="11010" max="11010" width="67" style="94" customWidth="1"/>
    <col min="11011" max="11011" width="8.44140625" style="94" customWidth="1"/>
    <col min="11012" max="11012" width="13.88671875" style="94" customWidth="1"/>
    <col min="11013" max="11014" width="9" style="94" customWidth="1"/>
    <col min="11015" max="11015" width="11.33203125" style="94" customWidth="1"/>
    <col min="11016" max="11016" width="9.44140625" style="94" customWidth="1"/>
    <col min="11017" max="11264" width="9.109375" style="94"/>
    <col min="11265" max="11265" width="7.6640625" style="94" customWidth="1"/>
    <col min="11266" max="11266" width="67" style="94" customWidth="1"/>
    <col min="11267" max="11267" width="8.44140625" style="94" customWidth="1"/>
    <col min="11268" max="11268" width="13.88671875" style="94" customWidth="1"/>
    <col min="11269" max="11270" width="9" style="94" customWidth="1"/>
    <col min="11271" max="11271" width="11.33203125" style="94" customWidth="1"/>
    <col min="11272" max="11272" width="9.44140625" style="94" customWidth="1"/>
    <col min="11273" max="11520" width="9.109375" style="94"/>
    <col min="11521" max="11521" width="7.6640625" style="94" customWidth="1"/>
    <col min="11522" max="11522" width="67" style="94" customWidth="1"/>
    <col min="11523" max="11523" width="8.44140625" style="94" customWidth="1"/>
    <col min="11524" max="11524" width="13.88671875" style="94" customWidth="1"/>
    <col min="11525" max="11526" width="9" style="94" customWidth="1"/>
    <col min="11527" max="11527" width="11.33203125" style="94" customWidth="1"/>
    <col min="11528" max="11528" width="9.44140625" style="94" customWidth="1"/>
    <col min="11529" max="11776" width="9.109375" style="94"/>
    <col min="11777" max="11777" width="7.6640625" style="94" customWidth="1"/>
    <col min="11778" max="11778" width="67" style="94" customWidth="1"/>
    <col min="11779" max="11779" width="8.44140625" style="94" customWidth="1"/>
    <col min="11780" max="11780" width="13.88671875" style="94" customWidth="1"/>
    <col min="11781" max="11782" width="9" style="94" customWidth="1"/>
    <col min="11783" max="11783" width="11.33203125" style="94" customWidth="1"/>
    <col min="11784" max="11784" width="9.44140625" style="94" customWidth="1"/>
    <col min="11785" max="12032" width="9.109375" style="94"/>
    <col min="12033" max="12033" width="7.6640625" style="94" customWidth="1"/>
    <col min="12034" max="12034" width="67" style="94" customWidth="1"/>
    <col min="12035" max="12035" width="8.44140625" style="94" customWidth="1"/>
    <col min="12036" max="12036" width="13.88671875" style="94" customWidth="1"/>
    <col min="12037" max="12038" width="9" style="94" customWidth="1"/>
    <col min="12039" max="12039" width="11.33203125" style="94" customWidth="1"/>
    <col min="12040" max="12040" width="9.44140625" style="94" customWidth="1"/>
    <col min="12041" max="12288" width="9.109375" style="94"/>
    <col min="12289" max="12289" width="7.6640625" style="94" customWidth="1"/>
    <col min="12290" max="12290" width="67" style="94" customWidth="1"/>
    <col min="12291" max="12291" width="8.44140625" style="94" customWidth="1"/>
    <col min="12292" max="12292" width="13.88671875" style="94" customWidth="1"/>
    <col min="12293" max="12294" width="9" style="94" customWidth="1"/>
    <col min="12295" max="12295" width="11.33203125" style="94" customWidth="1"/>
    <col min="12296" max="12296" width="9.44140625" style="94" customWidth="1"/>
    <col min="12297" max="12544" width="9.109375" style="94"/>
    <col min="12545" max="12545" width="7.6640625" style="94" customWidth="1"/>
    <col min="12546" max="12546" width="67" style="94" customWidth="1"/>
    <col min="12547" max="12547" width="8.44140625" style="94" customWidth="1"/>
    <col min="12548" max="12548" width="13.88671875" style="94" customWidth="1"/>
    <col min="12549" max="12550" width="9" style="94" customWidth="1"/>
    <col min="12551" max="12551" width="11.33203125" style="94" customWidth="1"/>
    <col min="12552" max="12552" width="9.44140625" style="94" customWidth="1"/>
    <col min="12553" max="12800" width="9.109375" style="94"/>
    <col min="12801" max="12801" width="7.6640625" style="94" customWidth="1"/>
    <col min="12802" max="12802" width="67" style="94" customWidth="1"/>
    <col min="12803" max="12803" width="8.44140625" style="94" customWidth="1"/>
    <col min="12804" max="12804" width="13.88671875" style="94" customWidth="1"/>
    <col min="12805" max="12806" width="9" style="94" customWidth="1"/>
    <col min="12807" max="12807" width="11.33203125" style="94" customWidth="1"/>
    <col min="12808" max="12808" width="9.44140625" style="94" customWidth="1"/>
    <col min="12809" max="13056" width="9.109375" style="94"/>
    <col min="13057" max="13057" width="7.6640625" style="94" customWidth="1"/>
    <col min="13058" max="13058" width="67" style="94" customWidth="1"/>
    <col min="13059" max="13059" width="8.44140625" style="94" customWidth="1"/>
    <col min="13060" max="13060" width="13.88671875" style="94" customWidth="1"/>
    <col min="13061" max="13062" width="9" style="94" customWidth="1"/>
    <col min="13063" max="13063" width="11.33203125" style="94" customWidth="1"/>
    <col min="13064" max="13064" width="9.44140625" style="94" customWidth="1"/>
    <col min="13065" max="13312" width="9.109375" style="94"/>
    <col min="13313" max="13313" width="7.6640625" style="94" customWidth="1"/>
    <col min="13314" max="13314" width="67" style="94" customWidth="1"/>
    <col min="13315" max="13315" width="8.44140625" style="94" customWidth="1"/>
    <col min="13316" max="13316" width="13.88671875" style="94" customWidth="1"/>
    <col min="13317" max="13318" width="9" style="94" customWidth="1"/>
    <col min="13319" max="13319" width="11.33203125" style="94" customWidth="1"/>
    <col min="13320" max="13320" width="9.44140625" style="94" customWidth="1"/>
    <col min="13321" max="13568" width="9.109375" style="94"/>
    <col min="13569" max="13569" width="7.6640625" style="94" customWidth="1"/>
    <col min="13570" max="13570" width="67" style="94" customWidth="1"/>
    <col min="13571" max="13571" width="8.44140625" style="94" customWidth="1"/>
    <col min="13572" max="13572" width="13.88671875" style="94" customWidth="1"/>
    <col min="13573" max="13574" width="9" style="94" customWidth="1"/>
    <col min="13575" max="13575" width="11.33203125" style="94" customWidth="1"/>
    <col min="13576" max="13576" width="9.44140625" style="94" customWidth="1"/>
    <col min="13577" max="13824" width="9.109375" style="94"/>
    <col min="13825" max="13825" width="7.6640625" style="94" customWidth="1"/>
    <col min="13826" max="13826" width="67" style="94" customWidth="1"/>
    <col min="13827" max="13827" width="8.44140625" style="94" customWidth="1"/>
    <col min="13828" max="13828" width="13.88671875" style="94" customWidth="1"/>
    <col min="13829" max="13830" width="9" style="94" customWidth="1"/>
    <col min="13831" max="13831" width="11.33203125" style="94" customWidth="1"/>
    <col min="13832" max="13832" width="9.44140625" style="94" customWidth="1"/>
    <col min="13833" max="14080" width="9.109375" style="94"/>
    <col min="14081" max="14081" width="7.6640625" style="94" customWidth="1"/>
    <col min="14082" max="14082" width="67" style="94" customWidth="1"/>
    <col min="14083" max="14083" width="8.44140625" style="94" customWidth="1"/>
    <col min="14084" max="14084" width="13.88671875" style="94" customWidth="1"/>
    <col min="14085" max="14086" width="9" style="94" customWidth="1"/>
    <col min="14087" max="14087" width="11.33203125" style="94" customWidth="1"/>
    <col min="14088" max="14088" width="9.44140625" style="94" customWidth="1"/>
    <col min="14089" max="14336" width="9.109375" style="94"/>
    <col min="14337" max="14337" width="7.6640625" style="94" customWidth="1"/>
    <col min="14338" max="14338" width="67" style="94" customWidth="1"/>
    <col min="14339" max="14339" width="8.44140625" style="94" customWidth="1"/>
    <col min="14340" max="14340" width="13.88671875" style="94" customWidth="1"/>
    <col min="14341" max="14342" width="9" style="94" customWidth="1"/>
    <col min="14343" max="14343" width="11.33203125" style="94" customWidth="1"/>
    <col min="14344" max="14344" width="9.44140625" style="94" customWidth="1"/>
    <col min="14345" max="14592" width="9.109375" style="94"/>
    <col min="14593" max="14593" width="7.6640625" style="94" customWidth="1"/>
    <col min="14594" max="14594" width="67" style="94" customWidth="1"/>
    <col min="14595" max="14595" width="8.44140625" style="94" customWidth="1"/>
    <col min="14596" max="14596" width="13.88671875" style="94" customWidth="1"/>
    <col min="14597" max="14598" width="9" style="94" customWidth="1"/>
    <col min="14599" max="14599" width="11.33203125" style="94" customWidth="1"/>
    <col min="14600" max="14600" width="9.44140625" style="94" customWidth="1"/>
    <col min="14601" max="14848" width="9.109375" style="94"/>
    <col min="14849" max="14849" width="7.6640625" style="94" customWidth="1"/>
    <col min="14850" max="14850" width="67" style="94" customWidth="1"/>
    <col min="14851" max="14851" width="8.44140625" style="94" customWidth="1"/>
    <col min="14852" max="14852" width="13.88671875" style="94" customWidth="1"/>
    <col min="14853" max="14854" width="9" style="94" customWidth="1"/>
    <col min="14855" max="14855" width="11.33203125" style="94" customWidth="1"/>
    <col min="14856" max="14856" width="9.44140625" style="94" customWidth="1"/>
    <col min="14857" max="15104" width="9.109375" style="94"/>
    <col min="15105" max="15105" width="7.6640625" style="94" customWidth="1"/>
    <col min="15106" max="15106" width="67" style="94" customWidth="1"/>
    <col min="15107" max="15107" width="8.44140625" style="94" customWidth="1"/>
    <col min="15108" max="15108" width="13.88671875" style="94" customWidth="1"/>
    <col min="15109" max="15110" width="9" style="94" customWidth="1"/>
    <col min="15111" max="15111" width="11.33203125" style="94" customWidth="1"/>
    <col min="15112" max="15112" width="9.44140625" style="94" customWidth="1"/>
    <col min="15113" max="15360" width="9.109375" style="94"/>
    <col min="15361" max="15361" width="7.6640625" style="94" customWidth="1"/>
    <col min="15362" max="15362" width="67" style="94" customWidth="1"/>
    <col min="15363" max="15363" width="8.44140625" style="94" customWidth="1"/>
    <col min="15364" max="15364" width="13.88671875" style="94" customWidth="1"/>
    <col min="15365" max="15366" width="9" style="94" customWidth="1"/>
    <col min="15367" max="15367" width="11.33203125" style="94" customWidth="1"/>
    <col min="15368" max="15368" width="9.44140625" style="94" customWidth="1"/>
    <col min="15369" max="15616" width="9.109375" style="94"/>
    <col min="15617" max="15617" width="7.6640625" style="94" customWidth="1"/>
    <col min="15618" max="15618" width="67" style="94" customWidth="1"/>
    <col min="15619" max="15619" width="8.44140625" style="94" customWidth="1"/>
    <col min="15620" max="15620" width="13.88671875" style="94" customWidth="1"/>
    <col min="15621" max="15622" width="9" style="94" customWidth="1"/>
    <col min="15623" max="15623" width="11.33203125" style="94" customWidth="1"/>
    <col min="15624" max="15624" width="9.44140625" style="94" customWidth="1"/>
    <col min="15625" max="15872" width="9.109375" style="94"/>
    <col min="15873" max="15873" width="7.6640625" style="94" customWidth="1"/>
    <col min="15874" max="15874" width="67" style="94" customWidth="1"/>
    <col min="15875" max="15875" width="8.44140625" style="94" customWidth="1"/>
    <col min="15876" max="15876" width="13.88671875" style="94" customWidth="1"/>
    <col min="15877" max="15878" width="9" style="94" customWidth="1"/>
    <col min="15879" max="15879" width="11.33203125" style="94" customWidth="1"/>
    <col min="15880" max="15880" width="9.44140625" style="94" customWidth="1"/>
    <col min="15881" max="16128" width="9.109375" style="94"/>
    <col min="16129" max="16129" width="7.6640625" style="94" customWidth="1"/>
    <col min="16130" max="16130" width="67" style="94" customWidth="1"/>
    <col min="16131" max="16131" width="8.44140625" style="94" customWidth="1"/>
    <col min="16132" max="16132" width="13.88671875" style="94" customWidth="1"/>
    <col min="16133" max="16134" width="9" style="94" customWidth="1"/>
    <col min="16135" max="16135" width="11.33203125" style="94" customWidth="1"/>
    <col min="16136" max="16136" width="9.44140625" style="94" customWidth="1"/>
    <col min="16137" max="16384" width="9.109375" style="94"/>
  </cols>
  <sheetData>
    <row r="1" spans="1:10" ht="88.5" customHeight="1">
      <c r="A1" s="325"/>
      <c r="B1" s="325"/>
      <c r="C1" s="325"/>
      <c r="D1" s="325"/>
      <c r="E1" s="325"/>
      <c r="F1" s="325"/>
      <c r="G1" s="325"/>
      <c r="H1" s="325"/>
      <c r="I1" s="93"/>
    </row>
    <row r="2" spans="1:10">
      <c r="A2" s="326" t="s">
        <v>0</v>
      </c>
      <c r="B2" s="326"/>
      <c r="C2" s="326"/>
      <c r="D2" s="326"/>
      <c r="E2" s="326"/>
      <c r="F2" s="326"/>
      <c r="G2" s="326"/>
      <c r="H2" s="326"/>
      <c r="I2" s="93"/>
    </row>
    <row r="3" spans="1:10">
      <c r="A3" s="326" t="str">
        <f>'ORÇ BASE'!A3</f>
        <v>LOCAL: VÁRZEA ALEGRE - ZONA RURAL - TERRA NOVA/PE</v>
      </c>
      <c r="B3" s="326"/>
      <c r="C3" s="326"/>
      <c r="D3" s="326"/>
      <c r="E3" s="326"/>
      <c r="F3" s="326"/>
      <c r="G3" s="326"/>
      <c r="H3" s="326"/>
      <c r="I3" s="93"/>
    </row>
    <row r="4" spans="1:10">
      <c r="A4" s="326" t="str">
        <f>'ORÇ BASE'!A4</f>
        <v>OBJETO: CONSTRUÇÃO DE UMA QUADRA ESPORTIVA DESCOBERTA</v>
      </c>
      <c r="B4" s="326"/>
      <c r="C4" s="326"/>
      <c r="D4" s="326"/>
      <c r="E4" s="326"/>
      <c r="F4" s="326"/>
      <c r="G4" s="326"/>
      <c r="H4" s="326"/>
      <c r="I4" s="93"/>
    </row>
    <row r="5" spans="1:10">
      <c r="A5" s="327"/>
      <c r="B5" s="327"/>
      <c r="C5" s="327"/>
      <c r="D5" s="327"/>
      <c r="E5" s="327"/>
      <c r="F5" s="327"/>
      <c r="G5" s="327"/>
      <c r="H5" s="327"/>
      <c r="I5" s="93"/>
    </row>
    <row r="6" spans="1:10">
      <c r="A6" s="325" t="s">
        <v>156</v>
      </c>
      <c r="B6" s="325"/>
      <c r="C6" s="325"/>
      <c r="D6" s="325"/>
      <c r="E6" s="325"/>
      <c r="F6" s="325"/>
      <c r="G6" s="325"/>
      <c r="H6" s="325"/>
      <c r="I6" s="93"/>
    </row>
    <row r="7" spans="1:10">
      <c r="A7" s="95"/>
      <c r="B7" s="61"/>
      <c r="C7" s="96"/>
      <c r="D7" s="97"/>
      <c r="E7" s="97"/>
      <c r="F7" s="97"/>
      <c r="G7" s="97"/>
      <c r="H7" s="98"/>
      <c r="I7" s="99"/>
      <c r="J7" s="100"/>
    </row>
    <row r="8" spans="1:10">
      <c r="A8" s="61" t="s">
        <v>157</v>
      </c>
      <c r="B8" s="61" t="s">
        <v>9</v>
      </c>
      <c r="C8" s="101" t="s">
        <v>10</v>
      </c>
      <c r="D8" s="101" t="s">
        <v>158</v>
      </c>
      <c r="E8" s="101" t="s">
        <v>159</v>
      </c>
      <c r="F8" s="101" t="s">
        <v>160</v>
      </c>
      <c r="G8" s="101" t="s">
        <v>161</v>
      </c>
      <c r="H8" s="101" t="s">
        <v>162</v>
      </c>
    </row>
    <row r="9" spans="1:10">
      <c r="A9" s="60" t="s">
        <v>16</v>
      </c>
      <c r="B9" s="102" t="s">
        <v>163</v>
      </c>
      <c r="C9" s="101"/>
      <c r="D9" s="101"/>
      <c r="E9" s="101"/>
      <c r="F9" s="101"/>
      <c r="G9" s="101"/>
      <c r="H9" s="101"/>
    </row>
    <row r="10" spans="1:10" s="103" customFormat="1" ht="27.6">
      <c r="A10" s="33" t="s">
        <v>18</v>
      </c>
      <c r="B10" s="35" t="s">
        <v>20</v>
      </c>
      <c r="C10" s="34" t="s">
        <v>21</v>
      </c>
      <c r="D10" s="42"/>
      <c r="E10" s="42"/>
      <c r="F10" s="42"/>
      <c r="G10" s="42"/>
      <c r="H10" s="42"/>
    </row>
    <row r="11" spans="1:10" s="103" customFormat="1">
      <c r="A11" s="42"/>
      <c r="B11" s="104" t="s">
        <v>164</v>
      </c>
      <c r="C11" s="42"/>
      <c r="D11" s="42">
        <v>3</v>
      </c>
      <c r="E11" s="42">
        <v>2</v>
      </c>
      <c r="F11" s="42"/>
      <c r="G11" s="42"/>
      <c r="H11" s="42">
        <f>ROUND(E11*D11,2)</f>
        <v>6</v>
      </c>
    </row>
    <row r="12" spans="1:10" s="103" customFormat="1">
      <c r="A12" s="42"/>
      <c r="B12" s="104"/>
      <c r="C12" s="42"/>
      <c r="D12" s="42"/>
      <c r="E12" s="42"/>
      <c r="F12" s="42"/>
      <c r="G12" s="105" t="s">
        <v>162</v>
      </c>
      <c r="H12" s="105">
        <f>H11</f>
        <v>6</v>
      </c>
    </row>
    <row r="13" spans="1:10" s="103" customFormat="1">
      <c r="A13" s="42"/>
      <c r="B13" s="104"/>
      <c r="C13" s="42"/>
      <c r="D13" s="42"/>
      <c r="E13" s="42"/>
      <c r="F13" s="42"/>
      <c r="G13" s="42"/>
      <c r="H13" s="42"/>
    </row>
    <row r="14" spans="1:10" s="103" customFormat="1" ht="41.4">
      <c r="A14" s="33" t="s">
        <v>22</v>
      </c>
      <c r="B14" s="35" t="s">
        <v>24</v>
      </c>
      <c r="C14" s="40" t="s">
        <v>21</v>
      </c>
      <c r="D14" s="42"/>
      <c r="E14" s="42"/>
      <c r="F14" s="42"/>
      <c r="G14" s="42"/>
      <c r="H14" s="42"/>
    </row>
    <row r="15" spans="1:10" s="103" customFormat="1">
      <c r="A15" s="42"/>
      <c r="B15" s="104" t="s">
        <v>165</v>
      </c>
      <c r="C15" s="42"/>
      <c r="D15" s="42">
        <v>27.6</v>
      </c>
      <c r="E15" s="42"/>
      <c r="F15" s="42">
        <v>39</v>
      </c>
      <c r="G15" s="42"/>
      <c r="H15" s="42">
        <f>ROUND(F15*D15,2)</f>
        <v>1076.4000000000001</v>
      </c>
    </row>
    <row r="16" spans="1:10" s="103" customFormat="1">
      <c r="A16" s="42"/>
      <c r="B16" s="104"/>
      <c r="C16" s="42"/>
      <c r="D16" s="42"/>
      <c r="E16" s="42"/>
      <c r="F16" s="42"/>
      <c r="G16" s="105" t="s">
        <v>162</v>
      </c>
      <c r="H16" s="105">
        <f>H15</f>
        <v>1076.4000000000001</v>
      </c>
    </row>
    <row r="17" spans="1:8" s="103" customFormat="1">
      <c r="A17" s="42"/>
      <c r="B17" s="104"/>
      <c r="C17" s="42"/>
      <c r="D17" s="42"/>
      <c r="E17" s="42"/>
      <c r="F17" s="42"/>
      <c r="G17" s="42"/>
      <c r="H17" s="42"/>
    </row>
    <row r="18" spans="1:8" s="103" customFormat="1" ht="27.6">
      <c r="A18" s="33" t="s">
        <v>25</v>
      </c>
      <c r="B18" s="35" t="s">
        <v>27</v>
      </c>
      <c r="C18" s="40" t="s">
        <v>28</v>
      </c>
      <c r="D18" s="42"/>
      <c r="E18" s="42"/>
      <c r="F18" s="42"/>
      <c r="G18" s="42"/>
      <c r="H18" s="42"/>
    </row>
    <row r="19" spans="1:8" s="103" customFormat="1">
      <c r="A19" s="39"/>
      <c r="B19" s="106" t="s">
        <v>166</v>
      </c>
      <c r="C19" s="107"/>
      <c r="D19" s="42">
        <f>22+22+35+35</f>
        <v>114</v>
      </c>
      <c r="E19" s="42"/>
      <c r="F19" s="42"/>
      <c r="G19" s="42"/>
      <c r="H19" s="42">
        <f>D19</f>
        <v>114</v>
      </c>
    </row>
    <row r="20" spans="1:8" s="103" customFormat="1">
      <c r="A20" s="42"/>
      <c r="B20" s="104"/>
      <c r="C20" s="42"/>
      <c r="D20" s="42"/>
      <c r="E20" s="42"/>
      <c r="F20" s="42"/>
      <c r="G20" s="105" t="s">
        <v>162</v>
      </c>
      <c r="H20" s="105">
        <f>H19</f>
        <v>114</v>
      </c>
    </row>
    <row r="21" spans="1:8" s="103" customFormat="1">
      <c r="A21" s="42"/>
      <c r="B21" s="104"/>
      <c r="C21" s="42"/>
      <c r="D21" s="42"/>
      <c r="E21" s="42"/>
      <c r="F21" s="42"/>
      <c r="G21" s="42"/>
      <c r="H21" s="42"/>
    </row>
    <row r="22" spans="1:8" s="103" customFormat="1">
      <c r="A22" s="108" t="s">
        <v>30</v>
      </c>
      <c r="B22" s="109" t="s">
        <v>31</v>
      </c>
      <c r="C22" s="43"/>
      <c r="D22" s="42"/>
      <c r="E22" s="42"/>
      <c r="F22" s="42"/>
      <c r="G22" s="42"/>
      <c r="H22" s="42"/>
    </row>
    <row r="23" spans="1:8" s="103" customFormat="1" ht="27.6">
      <c r="A23" s="76" t="s">
        <v>32</v>
      </c>
      <c r="B23" s="35" t="s">
        <v>34</v>
      </c>
      <c r="C23" s="34" t="s">
        <v>35</v>
      </c>
      <c r="D23" s="42"/>
      <c r="E23" s="42"/>
      <c r="F23" s="42"/>
      <c r="G23" s="42"/>
      <c r="H23" s="42"/>
    </row>
    <row r="24" spans="1:8" s="103" customFormat="1">
      <c r="A24" s="76"/>
      <c r="B24" s="41" t="s">
        <v>421</v>
      </c>
      <c r="C24" s="34"/>
      <c r="D24" s="42"/>
      <c r="E24" s="42"/>
      <c r="F24" s="42"/>
      <c r="G24" s="42"/>
      <c r="H24" s="42"/>
    </row>
    <row r="25" spans="1:8" s="103" customFormat="1">
      <c r="A25" s="42"/>
      <c r="B25" s="104" t="s">
        <v>420</v>
      </c>
      <c r="C25" s="42"/>
      <c r="D25" s="42">
        <v>26.6</v>
      </c>
      <c r="E25" s="42">
        <v>0.4</v>
      </c>
      <c r="F25" s="42">
        <v>0.3</v>
      </c>
      <c r="G25" s="42">
        <v>1</v>
      </c>
      <c r="H25" s="42">
        <f>ROUND(G25*F25*E25*D25,2)</f>
        <v>3.19</v>
      </c>
    </row>
    <row r="26" spans="1:8" s="103" customFormat="1">
      <c r="A26" s="42"/>
      <c r="B26" s="104" t="s">
        <v>422</v>
      </c>
      <c r="C26" s="42"/>
      <c r="D26" s="42">
        <v>38</v>
      </c>
      <c r="E26" s="42">
        <v>0.4</v>
      </c>
      <c r="F26" s="42">
        <v>0.3</v>
      </c>
      <c r="G26" s="42">
        <v>1</v>
      </c>
      <c r="H26" s="42">
        <f t="shared" ref="H26:H27" si="0">ROUND(G26*F26*E26*D26,2)</f>
        <v>4.5599999999999996</v>
      </c>
    </row>
    <row r="27" spans="1:8" s="103" customFormat="1">
      <c r="A27" s="42"/>
      <c r="B27" s="104" t="s">
        <v>429</v>
      </c>
      <c r="C27" s="42"/>
      <c r="D27" s="42">
        <v>0.5</v>
      </c>
      <c r="E27" s="42">
        <v>0.1</v>
      </c>
      <c r="F27" s="42">
        <v>0.2</v>
      </c>
      <c r="G27" s="42">
        <v>21</v>
      </c>
      <c r="H27" s="42">
        <f t="shared" si="0"/>
        <v>0.21</v>
      </c>
    </row>
    <row r="28" spans="1:8" s="103" customFormat="1">
      <c r="A28" s="42"/>
      <c r="B28" s="41" t="s">
        <v>423</v>
      </c>
      <c r="C28" s="42"/>
      <c r="D28" s="42"/>
      <c r="E28" s="42"/>
      <c r="F28" s="42"/>
      <c r="G28" s="42"/>
      <c r="H28" s="42">
        <f t="shared" ref="H28:H30" si="1">ROUND(G28*F28*E28*D28,2)</f>
        <v>0</v>
      </c>
    </row>
    <row r="29" spans="1:8" s="103" customFormat="1">
      <c r="A29" s="42"/>
      <c r="B29" s="104" t="s">
        <v>424</v>
      </c>
      <c r="C29" s="42"/>
      <c r="D29" s="42">
        <v>38</v>
      </c>
      <c r="E29" s="42">
        <v>0.5</v>
      </c>
      <c r="F29" s="42">
        <v>0.6</v>
      </c>
      <c r="G29" s="42">
        <v>1</v>
      </c>
      <c r="H29" s="42">
        <f t="shared" si="1"/>
        <v>11.4</v>
      </c>
    </row>
    <row r="30" spans="1:8" s="103" customFormat="1">
      <c r="A30" s="42"/>
      <c r="B30" s="104" t="s">
        <v>425</v>
      </c>
      <c r="C30" s="42"/>
      <c r="D30" s="42">
        <v>26.6</v>
      </c>
      <c r="E30" s="42">
        <v>0.5</v>
      </c>
      <c r="F30" s="42">
        <v>0.6</v>
      </c>
      <c r="G30" s="42">
        <v>1</v>
      </c>
      <c r="H30" s="42">
        <f t="shared" si="1"/>
        <v>7.98</v>
      </c>
    </row>
    <row r="31" spans="1:8" s="103" customFormat="1">
      <c r="A31" s="34"/>
      <c r="B31" s="110"/>
      <c r="C31" s="107"/>
      <c r="D31" s="42"/>
      <c r="E31" s="42"/>
      <c r="F31" s="42"/>
      <c r="G31" s="105" t="s">
        <v>162</v>
      </c>
      <c r="H31" s="105">
        <f>SUM(H25:H30)</f>
        <v>27.34</v>
      </c>
    </row>
    <row r="32" spans="1:8" s="103" customFormat="1">
      <c r="A32" s="42"/>
      <c r="B32" s="104"/>
      <c r="C32" s="42"/>
      <c r="D32" s="42"/>
      <c r="E32" s="42"/>
      <c r="F32" s="42"/>
      <c r="G32" s="42"/>
      <c r="H32" s="42"/>
    </row>
    <row r="33" spans="1:11" s="103" customFormat="1" ht="27.6">
      <c r="A33" s="76" t="s">
        <v>36</v>
      </c>
      <c r="B33" s="35" t="s">
        <v>51</v>
      </c>
      <c r="C33" s="34" t="s">
        <v>21</v>
      </c>
      <c r="D33" s="42"/>
      <c r="E33" s="42"/>
      <c r="F33" s="42"/>
      <c r="G33" s="42"/>
      <c r="H33" s="42"/>
    </row>
    <row r="34" spans="1:11" s="103" customFormat="1">
      <c r="A34" s="42"/>
      <c r="B34" s="41" t="s">
        <v>421</v>
      </c>
      <c r="C34" s="34"/>
      <c r="D34" s="42"/>
      <c r="E34" s="42"/>
      <c r="F34" s="42"/>
      <c r="G34" s="42"/>
      <c r="H34" s="42"/>
    </row>
    <row r="35" spans="1:11" s="103" customFormat="1">
      <c r="A35" s="42"/>
      <c r="B35" s="104" t="s">
        <v>420</v>
      </c>
      <c r="C35" s="42"/>
      <c r="D35" s="42">
        <v>26.6</v>
      </c>
      <c r="E35" s="42"/>
      <c r="F35" s="42">
        <v>0.3</v>
      </c>
      <c r="G35" s="42">
        <v>1</v>
      </c>
      <c r="H35" s="42">
        <f>ROUND(G35*F35*D35,2)</f>
        <v>7.98</v>
      </c>
    </row>
    <row r="36" spans="1:11" s="103" customFormat="1">
      <c r="A36" s="42"/>
      <c r="B36" s="104" t="s">
        <v>422</v>
      </c>
      <c r="C36" s="42"/>
      <c r="D36" s="42">
        <v>38</v>
      </c>
      <c r="E36" s="42"/>
      <c r="F36" s="42">
        <v>0.3</v>
      </c>
      <c r="G36" s="42">
        <v>1</v>
      </c>
      <c r="H36" s="42">
        <f t="shared" ref="H36:H37" si="2">ROUND(G36*F36*D36,2)</f>
        <v>11.4</v>
      </c>
    </row>
    <row r="37" spans="1:11" s="103" customFormat="1">
      <c r="A37" s="42"/>
      <c r="B37" s="104" t="s">
        <v>429</v>
      </c>
      <c r="C37" s="42"/>
      <c r="D37" s="42">
        <v>0.5</v>
      </c>
      <c r="E37" s="42"/>
      <c r="F37" s="42">
        <v>0.2</v>
      </c>
      <c r="G37" s="42">
        <v>21</v>
      </c>
      <c r="H37" s="42">
        <f t="shared" si="2"/>
        <v>2.1</v>
      </c>
    </row>
    <row r="38" spans="1:11" s="103" customFormat="1">
      <c r="A38" s="42"/>
      <c r="B38" s="104"/>
      <c r="C38" s="42"/>
      <c r="D38" s="42"/>
      <c r="E38" s="42"/>
      <c r="F38" s="42"/>
      <c r="G38" s="105" t="s">
        <v>162</v>
      </c>
      <c r="H38" s="105">
        <f>SUM(H35:H37)</f>
        <v>21.480000000000004</v>
      </c>
    </row>
    <row r="39" spans="1:11" s="103" customFormat="1">
      <c r="A39" s="42"/>
      <c r="B39" s="104"/>
      <c r="C39" s="42"/>
      <c r="D39" s="42"/>
      <c r="E39" s="42"/>
      <c r="F39" s="42"/>
      <c r="G39" s="42"/>
      <c r="H39" s="42"/>
    </row>
    <row r="40" spans="1:11" s="103" customFormat="1" ht="41.4">
      <c r="A40" s="76" t="s">
        <v>43</v>
      </c>
      <c r="B40" s="35" t="s">
        <v>40</v>
      </c>
      <c r="C40" s="55" t="s">
        <v>21</v>
      </c>
      <c r="D40" s="42"/>
      <c r="E40" s="42"/>
      <c r="F40" s="42"/>
      <c r="G40" s="42"/>
      <c r="H40" s="42"/>
    </row>
    <row r="41" spans="1:11" s="103" customFormat="1">
      <c r="A41" s="42"/>
      <c r="B41" s="104" t="s">
        <v>426</v>
      </c>
      <c r="C41" s="42"/>
      <c r="D41" s="42">
        <v>26.6</v>
      </c>
      <c r="E41" s="42">
        <v>0.75</v>
      </c>
      <c r="F41" s="42"/>
      <c r="G41" s="42">
        <v>1</v>
      </c>
      <c r="H41" s="42">
        <f>ROUND(G41*E41*D41,2)</f>
        <v>19.95</v>
      </c>
      <c r="K41" s="103">
        <f>D41/3</f>
        <v>8.8666666666666671</v>
      </c>
    </row>
    <row r="42" spans="1:11" s="103" customFormat="1">
      <c r="A42" s="42"/>
      <c r="B42" s="104" t="s">
        <v>427</v>
      </c>
      <c r="C42" s="42"/>
      <c r="D42" s="42">
        <v>37.6</v>
      </c>
      <c r="E42" s="42">
        <v>0.9</v>
      </c>
      <c r="F42" s="42"/>
      <c r="G42" s="42">
        <v>1</v>
      </c>
      <c r="H42" s="42">
        <f t="shared" ref="H42:H44" si="3">ROUND(G42*E42*D42,2)</f>
        <v>33.840000000000003</v>
      </c>
      <c r="K42" s="103">
        <f>D42/3</f>
        <v>12.533333333333333</v>
      </c>
    </row>
    <row r="43" spans="1:11" s="103" customFormat="1">
      <c r="A43" s="42"/>
      <c r="B43" s="111" t="s">
        <v>428</v>
      </c>
      <c r="C43" s="112"/>
      <c r="D43" s="112">
        <v>0.2</v>
      </c>
      <c r="E43" s="112">
        <v>0.75</v>
      </c>
      <c r="F43" s="112"/>
      <c r="G43" s="112">
        <v>-9</v>
      </c>
      <c r="H43" s="112">
        <f t="shared" si="3"/>
        <v>-1.35</v>
      </c>
    </row>
    <row r="44" spans="1:11" s="103" customFormat="1">
      <c r="A44" s="42"/>
      <c r="B44" s="111"/>
      <c r="C44" s="112"/>
      <c r="D44" s="112">
        <v>0.2</v>
      </c>
      <c r="E44" s="112">
        <v>0.9</v>
      </c>
      <c r="F44" s="112"/>
      <c r="G44" s="112">
        <v>-12</v>
      </c>
      <c r="H44" s="112">
        <f t="shared" si="3"/>
        <v>-2.16</v>
      </c>
    </row>
    <row r="45" spans="1:11" s="103" customFormat="1">
      <c r="A45" s="42"/>
      <c r="B45" s="104"/>
      <c r="C45" s="42"/>
      <c r="D45" s="42"/>
      <c r="E45" s="42"/>
      <c r="F45" s="42"/>
      <c r="G45" s="105" t="s">
        <v>162</v>
      </c>
      <c r="H45" s="105">
        <f>SUM(H41:H44)</f>
        <v>50.28</v>
      </c>
    </row>
    <row r="46" spans="1:11" s="103" customFormat="1">
      <c r="A46" s="42"/>
      <c r="B46" s="104"/>
      <c r="C46" s="42"/>
      <c r="D46" s="42"/>
      <c r="E46" s="42"/>
      <c r="F46" s="42"/>
      <c r="G46" s="42"/>
      <c r="H46" s="42"/>
    </row>
    <row r="47" spans="1:11" s="103" customFormat="1" ht="41.4">
      <c r="A47" s="76" t="s">
        <v>154</v>
      </c>
      <c r="B47" s="35" t="s">
        <v>42</v>
      </c>
      <c r="C47" s="34" t="s">
        <v>35</v>
      </c>
      <c r="D47" s="42"/>
      <c r="E47" s="42"/>
      <c r="F47" s="42"/>
      <c r="G47" s="42"/>
      <c r="H47" s="42"/>
    </row>
    <row r="48" spans="1:11" s="103" customFormat="1">
      <c r="A48" s="42"/>
      <c r="B48" s="104" t="s">
        <v>430</v>
      </c>
      <c r="C48" s="42"/>
      <c r="D48" s="42">
        <v>0.5</v>
      </c>
      <c r="E48" s="42">
        <v>0.2</v>
      </c>
      <c r="F48" s="42">
        <v>0.5</v>
      </c>
      <c r="G48" s="42">
        <v>21</v>
      </c>
      <c r="H48" s="42">
        <f>ROUND(G48*F48*E48*D48,2)</f>
        <v>1.05</v>
      </c>
    </row>
    <row r="49" spans="1:8" s="103" customFormat="1">
      <c r="A49" s="42"/>
      <c r="B49" s="104" t="s">
        <v>431</v>
      </c>
      <c r="C49" s="42"/>
      <c r="D49" s="42">
        <v>0.2</v>
      </c>
      <c r="E49" s="42">
        <v>0.55000000000000004</v>
      </c>
      <c r="F49" s="42">
        <v>0.2</v>
      </c>
      <c r="G49" s="42">
        <v>9</v>
      </c>
      <c r="H49" s="42">
        <f t="shared" ref="H49:H50" si="4">ROUND(G49*F49*E49*D49,2)</f>
        <v>0.2</v>
      </c>
    </row>
    <row r="50" spans="1:8" s="103" customFormat="1">
      <c r="A50" s="42"/>
      <c r="B50" s="104"/>
      <c r="C50" s="42"/>
      <c r="D50" s="42">
        <v>0.2</v>
      </c>
      <c r="E50" s="42">
        <v>0.9</v>
      </c>
      <c r="F50" s="42">
        <v>0.2</v>
      </c>
      <c r="G50" s="42">
        <v>12</v>
      </c>
      <c r="H50" s="42">
        <f t="shared" si="4"/>
        <v>0.43</v>
      </c>
    </row>
    <row r="51" spans="1:8" s="103" customFormat="1">
      <c r="A51" s="42"/>
      <c r="B51" s="104"/>
      <c r="C51" s="42"/>
      <c r="D51" s="42"/>
      <c r="E51" s="42"/>
      <c r="F51" s="42"/>
      <c r="G51" s="105" t="s">
        <v>162</v>
      </c>
      <c r="H51" s="105">
        <f>SUM(H48:H50)</f>
        <v>1.68</v>
      </c>
    </row>
    <row r="52" spans="1:8" s="103" customFormat="1">
      <c r="A52" s="42"/>
      <c r="B52" s="104"/>
      <c r="C52" s="42"/>
      <c r="D52" s="42"/>
      <c r="E52" s="42"/>
      <c r="F52" s="42"/>
      <c r="G52" s="42"/>
      <c r="H52" s="42"/>
    </row>
    <row r="53" spans="1:8" s="103" customFormat="1" ht="41.4">
      <c r="A53" s="76" t="s">
        <v>155</v>
      </c>
      <c r="B53" s="35" t="s">
        <v>38</v>
      </c>
      <c r="C53" s="34" t="s">
        <v>35</v>
      </c>
      <c r="D53" s="42"/>
      <c r="E53" s="42"/>
      <c r="F53" s="42"/>
      <c r="G53" s="42"/>
      <c r="H53" s="42"/>
    </row>
    <row r="54" spans="1:8" s="103" customFormat="1">
      <c r="A54" s="42"/>
      <c r="B54" s="104" t="s">
        <v>432</v>
      </c>
      <c r="C54" s="42"/>
      <c r="D54" s="42">
        <v>37.799999999999997</v>
      </c>
      <c r="E54" s="42">
        <v>0.5</v>
      </c>
      <c r="F54" s="42">
        <v>0.6</v>
      </c>
      <c r="G54" s="42">
        <v>1</v>
      </c>
      <c r="H54" s="42">
        <f>ROUND(G54*F54*E54*D54,2)</f>
        <v>11.34</v>
      </c>
    </row>
    <row r="55" spans="1:8" s="103" customFormat="1">
      <c r="A55" s="42"/>
      <c r="B55" s="104" t="s">
        <v>433</v>
      </c>
      <c r="C55" s="42"/>
      <c r="D55" s="42">
        <v>37.799999999999997</v>
      </c>
      <c r="E55" s="42">
        <f>(0.3+1.5)/2</f>
        <v>0.9</v>
      </c>
      <c r="F55" s="42">
        <f>(0.6+0.4)/2</f>
        <v>0.5</v>
      </c>
      <c r="G55" s="42">
        <v>1</v>
      </c>
      <c r="H55" s="42">
        <f>ROUND(G55*F55*E55*D55,2)</f>
        <v>17.010000000000002</v>
      </c>
    </row>
    <row r="56" spans="1:8" s="103" customFormat="1">
      <c r="A56" s="42"/>
      <c r="B56" s="104" t="s">
        <v>434</v>
      </c>
      <c r="C56" s="42"/>
      <c r="D56" s="42">
        <v>26.6</v>
      </c>
      <c r="E56" s="42">
        <v>0.5</v>
      </c>
      <c r="F56" s="42">
        <v>0.6</v>
      </c>
      <c r="G56" s="42">
        <v>1</v>
      </c>
      <c r="H56" s="42">
        <f>ROUND(G56*F56*E56*D56,2)</f>
        <v>7.98</v>
      </c>
    </row>
    <row r="57" spans="1:8" s="103" customFormat="1">
      <c r="A57" s="42"/>
      <c r="B57" s="104" t="s">
        <v>435</v>
      </c>
      <c r="C57" s="42"/>
      <c r="D57" s="42">
        <v>26.6</v>
      </c>
      <c r="E57" s="42">
        <f>(0.6+1.5)/2</f>
        <v>1.05</v>
      </c>
      <c r="F57" s="42">
        <v>0.5</v>
      </c>
      <c r="G57" s="42">
        <v>1</v>
      </c>
      <c r="H57" s="42">
        <f>ROUND(G57*F57*E57*D57,2)</f>
        <v>13.97</v>
      </c>
    </row>
    <row r="58" spans="1:8" s="103" customFormat="1">
      <c r="A58" s="42"/>
      <c r="B58" s="110"/>
      <c r="C58" s="107"/>
      <c r="D58" s="42"/>
      <c r="E58" s="42"/>
      <c r="F58" s="42"/>
      <c r="G58" s="105" t="s">
        <v>162</v>
      </c>
      <c r="H58" s="105">
        <f>SUM(H54:H57)</f>
        <v>50.3</v>
      </c>
    </row>
    <row r="59" spans="1:8" s="103" customFormat="1">
      <c r="A59" s="42"/>
      <c r="B59" s="104"/>
      <c r="C59" s="42"/>
      <c r="D59" s="42"/>
      <c r="E59" s="42"/>
      <c r="F59" s="42"/>
      <c r="G59" s="42"/>
      <c r="H59" s="42"/>
    </row>
    <row r="60" spans="1:8" s="103" customFormat="1" ht="27.6">
      <c r="A60" s="76" t="s">
        <v>441</v>
      </c>
      <c r="B60" s="75" t="s">
        <v>44</v>
      </c>
      <c r="C60" s="40" t="s">
        <v>35</v>
      </c>
      <c r="D60" s="42"/>
      <c r="E60" s="42"/>
      <c r="F60" s="42"/>
      <c r="G60" s="42"/>
      <c r="H60" s="42"/>
    </row>
    <row r="61" spans="1:8" s="103" customFormat="1">
      <c r="A61" s="42"/>
      <c r="B61" s="104" t="s">
        <v>167</v>
      </c>
      <c r="C61" s="42"/>
      <c r="D61" s="42">
        <f>38-0.2-0.5</f>
        <v>37.299999999999997</v>
      </c>
      <c r="E61" s="42">
        <f>(0.2+0.5+0.8+1.7)/4</f>
        <v>0.8</v>
      </c>
      <c r="F61" s="42">
        <v>26.2</v>
      </c>
      <c r="G61" s="42"/>
      <c r="H61" s="42">
        <f>ROUND(F61*E61*D61,2)</f>
        <v>781.81</v>
      </c>
    </row>
    <row r="62" spans="1:8" s="103" customFormat="1">
      <c r="A62" s="34"/>
      <c r="B62" s="110"/>
      <c r="C62" s="107"/>
      <c r="D62" s="42"/>
      <c r="E62" s="42"/>
      <c r="F62" s="42"/>
      <c r="G62" s="105" t="s">
        <v>162</v>
      </c>
      <c r="H62" s="105">
        <f>H61</f>
        <v>781.81</v>
      </c>
    </row>
    <row r="63" spans="1:8" s="103" customFormat="1">
      <c r="A63" s="42"/>
      <c r="B63" s="104"/>
      <c r="C63" s="42"/>
      <c r="D63" s="42"/>
      <c r="E63" s="42"/>
      <c r="F63" s="42"/>
      <c r="G63" s="42"/>
      <c r="H63" s="42"/>
    </row>
    <row r="64" spans="1:8" s="103" customFormat="1">
      <c r="A64" s="108" t="s">
        <v>46</v>
      </c>
      <c r="B64" s="109" t="s">
        <v>47</v>
      </c>
      <c r="C64" s="43"/>
      <c r="D64" s="42"/>
      <c r="E64" s="42"/>
      <c r="F64" s="42"/>
      <c r="G64" s="42"/>
      <c r="H64" s="42"/>
    </row>
    <row r="65" spans="1:8" s="103" customFormat="1" ht="27.6">
      <c r="A65" s="33" t="s">
        <v>48</v>
      </c>
      <c r="B65" s="35" t="s">
        <v>34</v>
      </c>
      <c r="C65" s="34" t="s">
        <v>35</v>
      </c>
      <c r="D65" s="42"/>
      <c r="E65" s="42"/>
      <c r="F65" s="42"/>
      <c r="G65" s="42"/>
      <c r="H65" s="42"/>
    </row>
    <row r="66" spans="1:8" s="103" customFormat="1">
      <c r="A66" s="42"/>
      <c r="B66" s="104" t="s">
        <v>168</v>
      </c>
      <c r="C66" s="42"/>
      <c r="D66" s="42">
        <v>0.6</v>
      </c>
      <c r="E66" s="42">
        <v>0.6</v>
      </c>
      <c r="F66" s="42">
        <v>0.6</v>
      </c>
      <c r="G66" s="42">
        <f>12*2</f>
        <v>24</v>
      </c>
      <c r="H66" s="42">
        <f t="shared" ref="H66:H71" si="5">ROUND(G66*F66*E66*D66,2)</f>
        <v>5.18</v>
      </c>
    </row>
    <row r="67" spans="1:8" s="103" customFormat="1">
      <c r="A67" s="42"/>
      <c r="B67" s="104" t="s">
        <v>169</v>
      </c>
      <c r="C67" s="42"/>
      <c r="D67" s="42">
        <v>0.6</v>
      </c>
      <c r="E67" s="42">
        <v>0.6</v>
      </c>
      <c r="F67" s="42">
        <v>0.6</v>
      </c>
      <c r="G67" s="42">
        <f>7*2</f>
        <v>14</v>
      </c>
      <c r="H67" s="42">
        <f t="shared" si="5"/>
        <v>3.02</v>
      </c>
    </row>
    <row r="68" spans="1:8" s="103" customFormat="1">
      <c r="A68" s="42"/>
      <c r="B68" s="104" t="s">
        <v>170</v>
      </c>
      <c r="C68" s="42"/>
      <c r="D68" s="42">
        <v>34</v>
      </c>
      <c r="E68" s="42">
        <v>0.3</v>
      </c>
      <c r="F68" s="42">
        <v>0.3</v>
      </c>
      <c r="G68" s="42">
        <v>2</v>
      </c>
      <c r="H68" s="42">
        <f t="shared" si="5"/>
        <v>6.12</v>
      </c>
    </row>
    <row r="69" spans="1:8" s="103" customFormat="1">
      <c r="A69" s="42"/>
      <c r="B69" s="104" t="s">
        <v>171</v>
      </c>
      <c r="C69" s="42"/>
      <c r="D69" s="42">
        <v>20.6</v>
      </c>
      <c r="E69" s="42">
        <v>0.3</v>
      </c>
      <c r="F69" s="42">
        <v>0.3</v>
      </c>
      <c r="G69" s="42">
        <v>2</v>
      </c>
      <c r="H69" s="42">
        <f t="shared" si="5"/>
        <v>3.71</v>
      </c>
    </row>
    <row r="70" spans="1:8" s="103" customFormat="1">
      <c r="A70" s="42"/>
      <c r="B70" s="111" t="s">
        <v>172</v>
      </c>
      <c r="C70" s="112"/>
      <c r="D70" s="112">
        <v>0.6</v>
      </c>
      <c r="E70" s="112">
        <v>0.3</v>
      </c>
      <c r="F70" s="112">
        <v>0.3</v>
      </c>
      <c r="G70" s="112">
        <f>(24+14)*-1</f>
        <v>-38</v>
      </c>
      <c r="H70" s="112">
        <f t="shared" si="5"/>
        <v>-2.0499999999999998</v>
      </c>
    </row>
    <row r="71" spans="1:8" s="103" customFormat="1">
      <c r="A71" s="42"/>
      <c r="B71" s="104" t="s">
        <v>173</v>
      </c>
      <c r="C71" s="42"/>
      <c r="D71" s="42">
        <v>15</v>
      </c>
      <c r="E71" s="42">
        <v>0.5</v>
      </c>
      <c r="F71" s="42">
        <v>0.5</v>
      </c>
      <c r="G71" s="42">
        <v>6</v>
      </c>
      <c r="H71" s="42">
        <f t="shared" si="5"/>
        <v>22.5</v>
      </c>
    </row>
    <row r="72" spans="1:8" s="103" customFormat="1">
      <c r="A72" s="42"/>
      <c r="B72" s="104"/>
      <c r="C72" s="42"/>
      <c r="D72" s="42"/>
      <c r="E72" s="42"/>
      <c r="F72" s="42"/>
      <c r="G72" s="105" t="s">
        <v>162</v>
      </c>
      <c r="H72" s="105">
        <f>SUM(H66:H71)</f>
        <v>38.480000000000004</v>
      </c>
    </row>
    <row r="73" spans="1:8" s="103" customFormat="1">
      <c r="A73" s="42"/>
      <c r="B73" s="104"/>
      <c r="C73" s="42"/>
      <c r="D73" s="42"/>
      <c r="E73" s="42"/>
      <c r="F73" s="42"/>
      <c r="G73" s="42"/>
      <c r="H73" s="42"/>
    </row>
    <row r="74" spans="1:8" s="103" customFormat="1" ht="27.6">
      <c r="A74" s="33" t="s">
        <v>49</v>
      </c>
      <c r="B74" s="35" t="s">
        <v>51</v>
      </c>
      <c r="C74" s="34" t="s">
        <v>21</v>
      </c>
      <c r="D74" s="42"/>
      <c r="E74" s="42"/>
      <c r="F74" s="42"/>
      <c r="G74" s="42"/>
      <c r="H74" s="42"/>
    </row>
    <row r="75" spans="1:8" s="103" customFormat="1">
      <c r="A75" s="42"/>
      <c r="B75" s="104" t="s">
        <v>168</v>
      </c>
      <c r="C75" s="42"/>
      <c r="D75" s="42">
        <v>0.6</v>
      </c>
      <c r="E75" s="42"/>
      <c r="F75" s="42">
        <v>0.6</v>
      </c>
      <c r="G75" s="42">
        <f>12*2</f>
        <v>24</v>
      </c>
      <c r="H75" s="42">
        <f t="shared" ref="H75:H80" si="6">ROUND(G75*F75*D75,2)</f>
        <v>8.64</v>
      </c>
    </row>
    <row r="76" spans="1:8" s="103" customFormat="1">
      <c r="A76" s="42"/>
      <c r="B76" s="104" t="s">
        <v>169</v>
      </c>
      <c r="C76" s="42"/>
      <c r="D76" s="42">
        <v>0.6</v>
      </c>
      <c r="E76" s="42"/>
      <c r="F76" s="42">
        <v>0.6</v>
      </c>
      <c r="G76" s="42">
        <f>7*2</f>
        <v>14</v>
      </c>
      <c r="H76" s="42">
        <f t="shared" si="6"/>
        <v>5.04</v>
      </c>
    </row>
    <row r="77" spans="1:8" s="103" customFormat="1">
      <c r="A77" s="42"/>
      <c r="B77" s="104" t="s">
        <v>170</v>
      </c>
      <c r="C77" s="42"/>
      <c r="D77" s="42">
        <v>34</v>
      </c>
      <c r="E77" s="42"/>
      <c r="F77" s="42">
        <v>0.3</v>
      </c>
      <c r="G77" s="42">
        <v>2</v>
      </c>
      <c r="H77" s="42">
        <f t="shared" si="6"/>
        <v>20.399999999999999</v>
      </c>
    </row>
    <row r="78" spans="1:8" s="103" customFormat="1">
      <c r="A78" s="42"/>
      <c r="B78" s="104" t="s">
        <v>171</v>
      </c>
      <c r="C78" s="42"/>
      <c r="D78" s="42">
        <v>20.6</v>
      </c>
      <c r="E78" s="42"/>
      <c r="F78" s="42">
        <v>0.3</v>
      </c>
      <c r="G78" s="42">
        <v>2</v>
      </c>
      <c r="H78" s="42">
        <f t="shared" si="6"/>
        <v>12.36</v>
      </c>
    </row>
    <row r="79" spans="1:8" s="103" customFormat="1">
      <c r="A79" s="42"/>
      <c r="B79" s="111" t="s">
        <v>172</v>
      </c>
      <c r="C79" s="112"/>
      <c r="D79" s="112">
        <v>0.6</v>
      </c>
      <c r="E79" s="112"/>
      <c r="F79" s="112">
        <v>0.3</v>
      </c>
      <c r="G79" s="112">
        <f>(24+14)*-1</f>
        <v>-38</v>
      </c>
      <c r="H79" s="112">
        <f t="shared" si="6"/>
        <v>-6.84</v>
      </c>
    </row>
    <row r="80" spans="1:8" s="103" customFormat="1">
      <c r="A80" s="42"/>
      <c r="B80" s="104" t="s">
        <v>173</v>
      </c>
      <c r="C80" s="42"/>
      <c r="D80" s="42">
        <v>15</v>
      </c>
      <c r="E80" s="42"/>
      <c r="F80" s="42">
        <v>0.4</v>
      </c>
      <c r="G80" s="42">
        <v>6</v>
      </c>
      <c r="H80" s="42">
        <f t="shared" si="6"/>
        <v>36</v>
      </c>
    </row>
    <row r="81" spans="1:8" s="103" customFormat="1">
      <c r="A81" s="42"/>
      <c r="B81" s="104"/>
      <c r="C81" s="42"/>
      <c r="D81" s="42"/>
      <c r="E81" s="42"/>
      <c r="F81" s="42"/>
      <c r="G81" s="105" t="s">
        <v>162</v>
      </c>
      <c r="H81" s="105">
        <f>SUM(H75:H80)</f>
        <v>75.599999999999994</v>
      </c>
    </row>
    <row r="82" spans="1:8" s="103" customFormat="1">
      <c r="A82" s="42"/>
      <c r="B82" s="104"/>
      <c r="C82" s="42"/>
      <c r="D82" s="42"/>
      <c r="E82" s="42"/>
      <c r="F82" s="42"/>
      <c r="G82" s="42"/>
      <c r="H82" s="42"/>
    </row>
    <row r="83" spans="1:8" s="103" customFormat="1" ht="41.4">
      <c r="A83" s="33" t="s">
        <v>52</v>
      </c>
      <c r="B83" s="35" t="s">
        <v>42</v>
      </c>
      <c r="C83" s="34" t="s">
        <v>35</v>
      </c>
      <c r="D83" s="42"/>
      <c r="E83" s="42"/>
      <c r="F83" s="42"/>
      <c r="G83" s="42"/>
      <c r="H83" s="42"/>
    </row>
    <row r="84" spans="1:8" s="103" customFormat="1">
      <c r="A84" s="42"/>
      <c r="B84" s="104" t="s">
        <v>174</v>
      </c>
      <c r="C84" s="42"/>
      <c r="D84" s="42">
        <v>0.5</v>
      </c>
      <c r="E84" s="42">
        <v>0.2</v>
      </c>
      <c r="F84" s="42">
        <v>0.5</v>
      </c>
      <c r="G84" s="42">
        <f>12*2</f>
        <v>24</v>
      </c>
      <c r="H84" s="42">
        <f>ROUND(G84*F84*E84*D84,2)</f>
        <v>1.2</v>
      </c>
    </row>
    <row r="85" spans="1:8" s="103" customFormat="1">
      <c r="A85" s="42"/>
      <c r="B85" s="104" t="s">
        <v>175</v>
      </c>
      <c r="C85" s="42"/>
      <c r="D85" s="42">
        <v>0.5</v>
      </c>
      <c r="E85" s="42">
        <v>0.2</v>
      </c>
      <c r="F85" s="42">
        <v>0.5</v>
      </c>
      <c r="G85" s="42">
        <f>7*2</f>
        <v>14</v>
      </c>
      <c r="H85" s="42">
        <f>ROUND(G85*F85*E85*D85,2)</f>
        <v>0.7</v>
      </c>
    </row>
    <row r="86" spans="1:8" s="103" customFormat="1">
      <c r="A86" s="42"/>
      <c r="B86" s="104" t="s">
        <v>170</v>
      </c>
      <c r="C86" s="42"/>
      <c r="D86" s="42">
        <v>34</v>
      </c>
      <c r="E86" s="42">
        <v>0.1</v>
      </c>
      <c r="F86" s="42">
        <v>0.2</v>
      </c>
      <c r="G86" s="42">
        <v>2</v>
      </c>
      <c r="H86" s="42">
        <f>ROUND(G86*F86*E86*D86,2)</f>
        <v>1.36</v>
      </c>
    </row>
    <row r="87" spans="1:8" s="103" customFormat="1">
      <c r="A87" s="42"/>
      <c r="B87" s="104" t="s">
        <v>171</v>
      </c>
      <c r="C87" s="42"/>
      <c r="D87" s="42">
        <v>20.6</v>
      </c>
      <c r="E87" s="42">
        <v>0.1</v>
      </c>
      <c r="F87" s="42">
        <v>0.2</v>
      </c>
      <c r="G87" s="42">
        <v>2</v>
      </c>
      <c r="H87" s="42">
        <f>ROUND(G87*F87*E87*D87,2)</f>
        <v>0.82</v>
      </c>
    </row>
    <row r="88" spans="1:8" s="103" customFormat="1">
      <c r="A88" s="42"/>
      <c r="B88" s="104" t="s">
        <v>176</v>
      </c>
      <c r="C88" s="42"/>
      <c r="D88" s="42">
        <v>0.2</v>
      </c>
      <c r="E88" s="42">
        <v>0.35</v>
      </c>
      <c r="F88" s="42">
        <v>0.2</v>
      </c>
      <c r="G88" s="42">
        <v>24</v>
      </c>
      <c r="H88" s="42">
        <f t="shared" ref="H88:H95" si="7">ROUND(G88*F88*E88*D88,2)</f>
        <v>0.34</v>
      </c>
    </row>
    <row r="89" spans="1:8" s="103" customFormat="1">
      <c r="A89" s="42"/>
      <c r="B89" s="104" t="s">
        <v>177</v>
      </c>
      <c r="C89" s="42"/>
      <c r="D89" s="42">
        <v>0.2</v>
      </c>
      <c r="E89" s="42">
        <v>0.35</v>
      </c>
      <c r="F89" s="42">
        <v>0.2</v>
      </c>
      <c r="G89" s="42">
        <v>14</v>
      </c>
      <c r="H89" s="42">
        <f t="shared" si="7"/>
        <v>0.2</v>
      </c>
    </row>
    <row r="90" spans="1:8" s="103" customFormat="1">
      <c r="A90" s="42"/>
      <c r="B90" s="104" t="s">
        <v>178</v>
      </c>
      <c r="C90" s="42"/>
      <c r="D90" s="42">
        <v>0.2</v>
      </c>
      <c r="E90" s="42">
        <v>1</v>
      </c>
      <c r="F90" s="42">
        <v>0.2</v>
      </c>
      <c r="G90" s="42">
        <v>24</v>
      </c>
      <c r="H90" s="42">
        <f t="shared" si="7"/>
        <v>0.96</v>
      </c>
    </row>
    <row r="91" spans="1:8" s="103" customFormat="1">
      <c r="A91" s="42"/>
      <c r="B91" s="104" t="s">
        <v>179</v>
      </c>
      <c r="C91" s="42"/>
      <c r="D91" s="42">
        <v>0.2</v>
      </c>
      <c r="E91" s="42">
        <v>1</v>
      </c>
      <c r="F91" s="42">
        <v>0.2</v>
      </c>
      <c r="G91" s="42">
        <v>14</v>
      </c>
      <c r="H91" s="42">
        <f t="shared" si="7"/>
        <v>0.56000000000000005</v>
      </c>
    </row>
    <row r="92" spans="1:8" s="103" customFormat="1">
      <c r="A92" s="42"/>
      <c r="B92" s="104" t="s">
        <v>180</v>
      </c>
      <c r="C92" s="42"/>
      <c r="D92" s="42">
        <v>15</v>
      </c>
      <c r="E92" s="42">
        <v>0.15</v>
      </c>
      <c r="F92" s="42">
        <v>0.4</v>
      </c>
      <c r="G92" s="42">
        <v>6</v>
      </c>
      <c r="H92" s="42">
        <f t="shared" si="7"/>
        <v>5.4</v>
      </c>
    </row>
    <row r="93" spans="1:8" s="103" customFormat="1">
      <c r="A93" s="42"/>
      <c r="B93" s="104" t="s">
        <v>181</v>
      </c>
      <c r="C93" s="42"/>
      <c r="D93" s="42">
        <v>15</v>
      </c>
      <c r="E93" s="42">
        <v>0.15</v>
      </c>
      <c r="F93" s="42">
        <v>0.2</v>
      </c>
      <c r="G93" s="42">
        <v>6</v>
      </c>
      <c r="H93" s="42">
        <f t="shared" si="7"/>
        <v>2.7</v>
      </c>
    </row>
    <row r="94" spans="1:8" s="103" customFormat="1">
      <c r="A94" s="42"/>
      <c r="B94" s="104" t="s">
        <v>182</v>
      </c>
      <c r="C94" s="42"/>
      <c r="D94" s="42">
        <v>0.2</v>
      </c>
      <c r="E94" s="42">
        <v>0.5</v>
      </c>
      <c r="F94" s="42">
        <v>0.2</v>
      </c>
      <c r="G94" s="42">
        <v>8</v>
      </c>
      <c r="H94" s="42">
        <f t="shared" si="7"/>
        <v>0.16</v>
      </c>
    </row>
    <row r="95" spans="1:8" s="103" customFormat="1">
      <c r="A95" s="42"/>
      <c r="B95" s="104" t="s">
        <v>183</v>
      </c>
      <c r="C95" s="42"/>
      <c r="D95" s="42">
        <v>0.2</v>
      </c>
      <c r="E95" s="42">
        <v>0.95</v>
      </c>
      <c r="F95" s="42">
        <v>0.2</v>
      </c>
      <c r="G95" s="42">
        <v>16</v>
      </c>
      <c r="H95" s="42">
        <f t="shared" si="7"/>
        <v>0.61</v>
      </c>
    </row>
    <row r="96" spans="1:8" s="103" customFormat="1">
      <c r="A96" s="42"/>
      <c r="B96" s="104"/>
      <c r="C96" s="42"/>
      <c r="D96" s="42"/>
      <c r="E96" s="42"/>
      <c r="F96" s="42"/>
      <c r="G96" s="105" t="s">
        <v>162</v>
      </c>
      <c r="H96" s="105">
        <f>SUM(H84:H95)</f>
        <v>15.010000000000002</v>
      </c>
    </row>
    <row r="97" spans="1:10" s="103" customFormat="1">
      <c r="A97" s="42"/>
      <c r="B97" s="104"/>
      <c r="C97" s="42"/>
      <c r="D97" s="42"/>
      <c r="E97" s="42"/>
      <c r="F97" s="42"/>
      <c r="G97" s="42"/>
      <c r="H97" s="42"/>
    </row>
    <row r="98" spans="1:10" s="103" customFormat="1" ht="41.4">
      <c r="A98" s="33" t="s">
        <v>53</v>
      </c>
      <c r="B98" s="35" t="s">
        <v>40</v>
      </c>
      <c r="C98" s="55" t="s">
        <v>21</v>
      </c>
      <c r="D98" s="42"/>
      <c r="E98" s="42"/>
      <c r="F98" s="42"/>
      <c r="G98" s="42"/>
      <c r="H98" s="42"/>
    </row>
    <row r="99" spans="1:10" s="103" customFormat="1">
      <c r="A99" s="42"/>
      <c r="B99" s="104" t="s">
        <v>184</v>
      </c>
      <c r="C99" s="42"/>
      <c r="D99" s="42">
        <v>34</v>
      </c>
      <c r="E99" s="42">
        <v>1</v>
      </c>
      <c r="F99" s="42"/>
      <c r="G99" s="42">
        <v>2</v>
      </c>
      <c r="H99" s="42">
        <f>ROUND(G99*E99*D99,2)</f>
        <v>68</v>
      </c>
    </row>
    <row r="100" spans="1:10" s="103" customFormat="1">
      <c r="A100" s="34"/>
      <c r="B100" s="110" t="s">
        <v>185</v>
      </c>
      <c r="C100" s="41"/>
      <c r="D100" s="42">
        <v>20.6</v>
      </c>
      <c r="E100" s="42">
        <v>1</v>
      </c>
      <c r="F100" s="42"/>
      <c r="G100" s="42">
        <v>2</v>
      </c>
      <c r="H100" s="42">
        <f t="shared" ref="H100:H106" si="8">ROUND(G100*E100*D100,2)</f>
        <v>41.2</v>
      </c>
    </row>
    <row r="101" spans="1:10" s="103" customFormat="1">
      <c r="A101" s="34"/>
      <c r="B101" s="113" t="s">
        <v>186</v>
      </c>
      <c r="C101" s="114"/>
      <c r="D101" s="112">
        <v>0.2</v>
      </c>
      <c r="E101" s="112">
        <v>1</v>
      </c>
      <c r="F101" s="112"/>
      <c r="G101" s="112">
        <v>-38</v>
      </c>
      <c r="H101" s="112">
        <f t="shared" si="8"/>
        <v>-7.6</v>
      </c>
    </row>
    <row r="102" spans="1:10" s="103" customFormat="1">
      <c r="A102" s="42"/>
      <c r="B102" s="111" t="s">
        <v>187</v>
      </c>
      <c r="C102" s="112"/>
      <c r="D102" s="112">
        <v>2</v>
      </c>
      <c r="E102" s="112">
        <v>1</v>
      </c>
      <c r="F102" s="112"/>
      <c r="G102" s="112">
        <v>-2</v>
      </c>
      <c r="H102" s="112">
        <f t="shared" si="8"/>
        <v>-4</v>
      </c>
    </row>
    <row r="103" spans="1:10" s="103" customFormat="1">
      <c r="A103" s="42"/>
      <c r="B103" s="104" t="s">
        <v>188</v>
      </c>
      <c r="C103" s="42"/>
      <c r="D103" s="42">
        <f>15-(0.2*4)</f>
        <v>14.2</v>
      </c>
      <c r="E103" s="42">
        <v>0.5</v>
      </c>
      <c r="F103" s="42"/>
      <c r="G103" s="42">
        <v>2</v>
      </c>
      <c r="H103" s="42">
        <f t="shared" si="8"/>
        <v>14.2</v>
      </c>
    </row>
    <row r="104" spans="1:10" s="103" customFormat="1">
      <c r="A104" s="42"/>
      <c r="B104" s="104" t="s">
        <v>189</v>
      </c>
      <c r="C104" s="42"/>
      <c r="D104" s="42">
        <f>14.2</f>
        <v>14.2</v>
      </c>
      <c r="E104" s="42">
        <v>0.95</v>
      </c>
      <c r="F104" s="42"/>
      <c r="G104" s="42">
        <v>4</v>
      </c>
      <c r="H104" s="42">
        <f t="shared" si="8"/>
        <v>53.96</v>
      </c>
    </row>
    <row r="105" spans="1:10" s="103" customFormat="1">
      <c r="A105" s="42"/>
      <c r="B105" s="104" t="s">
        <v>190</v>
      </c>
      <c r="C105" s="42"/>
      <c r="D105" s="42">
        <v>0.35</v>
      </c>
      <c r="E105" s="42">
        <v>0.45</v>
      </c>
      <c r="F105" s="42"/>
      <c r="G105" s="42">
        <v>4</v>
      </c>
      <c r="H105" s="42">
        <f t="shared" si="8"/>
        <v>0.63</v>
      </c>
    </row>
    <row r="106" spans="1:10" s="103" customFormat="1">
      <c r="A106" s="42"/>
      <c r="B106" s="104"/>
      <c r="C106" s="42"/>
      <c r="D106" s="42">
        <v>0.15</v>
      </c>
      <c r="E106" s="42">
        <v>0.9</v>
      </c>
      <c r="F106" s="42"/>
      <c r="G106" s="42">
        <v>4</v>
      </c>
      <c r="H106" s="42">
        <f t="shared" si="8"/>
        <v>0.54</v>
      </c>
    </row>
    <row r="107" spans="1:10" s="103" customFormat="1">
      <c r="A107" s="34"/>
      <c r="B107" s="110"/>
      <c r="C107" s="107"/>
      <c r="D107" s="42"/>
      <c r="E107" s="42"/>
      <c r="F107" s="42"/>
      <c r="G107" s="105" t="s">
        <v>162</v>
      </c>
      <c r="H107" s="105">
        <f>SUM(H99:H106)</f>
        <v>166.93</v>
      </c>
      <c r="J107" s="103">
        <f>J104/2.5</f>
        <v>0</v>
      </c>
    </row>
    <row r="108" spans="1:10" s="103" customFormat="1">
      <c r="A108" s="42"/>
      <c r="B108" s="104"/>
      <c r="C108" s="42"/>
      <c r="D108" s="42"/>
      <c r="E108" s="42"/>
      <c r="F108" s="42"/>
      <c r="G108" s="42"/>
      <c r="H108" s="42"/>
    </row>
    <row r="109" spans="1:10" s="103" customFormat="1" ht="41.4">
      <c r="A109" s="33" t="s">
        <v>54</v>
      </c>
      <c r="B109" s="35" t="s">
        <v>56</v>
      </c>
      <c r="C109" s="40" t="s">
        <v>21</v>
      </c>
      <c r="D109" s="42"/>
      <c r="E109" s="42"/>
      <c r="F109" s="42"/>
      <c r="G109" s="42"/>
      <c r="H109" s="42"/>
    </row>
    <row r="110" spans="1:10" s="103" customFormat="1">
      <c r="A110" s="33"/>
      <c r="B110" s="110" t="s">
        <v>436</v>
      </c>
      <c r="C110" s="40"/>
      <c r="D110" s="42">
        <v>26.6</v>
      </c>
      <c r="E110" s="42">
        <f>(0.2+0.5)/2</f>
        <v>0.35</v>
      </c>
      <c r="F110" s="42"/>
      <c r="G110" s="42">
        <v>1</v>
      </c>
      <c r="H110" s="42">
        <f t="shared" ref="H110:H113" si="9">ROUND(G110*E110*D110,2)</f>
        <v>9.31</v>
      </c>
    </row>
    <row r="111" spans="1:10" s="103" customFormat="1">
      <c r="A111" s="33"/>
      <c r="B111" s="35"/>
      <c r="C111" s="40"/>
      <c r="D111" s="42">
        <v>38</v>
      </c>
      <c r="E111" s="42">
        <f>(0.2+0.8)/2</f>
        <v>0.5</v>
      </c>
      <c r="F111" s="42"/>
      <c r="G111" s="42">
        <v>1</v>
      </c>
      <c r="H111" s="42">
        <f t="shared" si="9"/>
        <v>19</v>
      </c>
    </row>
    <row r="112" spans="1:10" s="103" customFormat="1">
      <c r="A112" s="33"/>
      <c r="B112" s="110" t="s">
        <v>437</v>
      </c>
      <c r="C112" s="40"/>
      <c r="D112" s="42">
        <v>26.6</v>
      </c>
      <c r="E112" s="42">
        <f>(0.8+1.7)/2</f>
        <v>1.25</v>
      </c>
      <c r="F112" s="42"/>
      <c r="G112" s="42">
        <v>1</v>
      </c>
      <c r="H112" s="42">
        <f t="shared" si="9"/>
        <v>33.25</v>
      </c>
    </row>
    <row r="113" spans="1:8" s="103" customFormat="1">
      <c r="A113" s="33"/>
      <c r="B113" s="35"/>
      <c r="C113" s="40"/>
      <c r="D113" s="42">
        <v>38</v>
      </c>
      <c r="E113" s="42">
        <f>(0.5+1.7)/2</f>
        <v>1.1000000000000001</v>
      </c>
      <c r="F113" s="42"/>
      <c r="G113" s="42">
        <v>1</v>
      </c>
      <c r="H113" s="42">
        <f t="shared" si="9"/>
        <v>41.8</v>
      </c>
    </row>
    <row r="114" spans="1:8" s="103" customFormat="1">
      <c r="A114" s="42"/>
      <c r="B114" s="110" t="s">
        <v>184</v>
      </c>
      <c r="C114" s="107"/>
      <c r="D114" s="42">
        <v>34</v>
      </c>
      <c r="E114" s="42">
        <v>1</v>
      </c>
      <c r="F114" s="42"/>
      <c r="G114" s="42">
        <v>4</v>
      </c>
      <c r="H114" s="42">
        <f>ROUND(G114*E114*D114,2)</f>
        <v>136</v>
      </c>
    </row>
    <row r="115" spans="1:8" s="103" customFormat="1">
      <c r="A115" s="42"/>
      <c r="B115" s="104" t="s">
        <v>185</v>
      </c>
      <c r="C115" s="42"/>
      <c r="D115" s="42">
        <v>20.6</v>
      </c>
      <c r="E115" s="42">
        <v>1</v>
      </c>
      <c r="F115" s="42"/>
      <c r="G115" s="42">
        <v>4</v>
      </c>
      <c r="H115" s="42">
        <f t="shared" ref="H115:H120" si="10">ROUND(G115*E115*D115,2)</f>
        <v>82.4</v>
      </c>
    </row>
    <row r="116" spans="1:8" s="103" customFormat="1">
      <c r="A116" s="42"/>
      <c r="B116" s="113" t="s">
        <v>191</v>
      </c>
      <c r="C116" s="114"/>
      <c r="D116" s="112">
        <v>2</v>
      </c>
      <c r="E116" s="112">
        <v>1</v>
      </c>
      <c r="F116" s="112"/>
      <c r="G116" s="112">
        <v>-4</v>
      </c>
      <c r="H116" s="112">
        <f t="shared" si="10"/>
        <v>-8</v>
      </c>
    </row>
    <row r="117" spans="1:8" s="103" customFormat="1">
      <c r="A117" s="34"/>
      <c r="B117" s="104" t="s">
        <v>192</v>
      </c>
      <c r="C117" s="42"/>
      <c r="D117" s="42">
        <v>15</v>
      </c>
      <c r="E117" s="42">
        <v>0.45</v>
      </c>
      <c r="F117" s="42"/>
      <c r="G117" s="42">
        <v>4</v>
      </c>
      <c r="H117" s="42">
        <f t="shared" si="10"/>
        <v>27</v>
      </c>
    </row>
    <row r="118" spans="1:8" s="103" customFormat="1">
      <c r="A118" s="34"/>
      <c r="B118" s="104"/>
      <c r="C118" s="42"/>
      <c r="D118" s="42">
        <v>15</v>
      </c>
      <c r="E118" s="42">
        <v>0.9</v>
      </c>
      <c r="F118" s="42"/>
      <c r="G118" s="42">
        <v>2</v>
      </c>
      <c r="H118" s="42">
        <f t="shared" si="10"/>
        <v>27</v>
      </c>
    </row>
    <row r="119" spans="1:8" s="103" customFormat="1">
      <c r="A119" s="34"/>
      <c r="B119" s="104" t="s">
        <v>190</v>
      </c>
      <c r="C119" s="42"/>
      <c r="D119" s="42">
        <v>0.55000000000000004</v>
      </c>
      <c r="E119" s="42">
        <v>0.45</v>
      </c>
      <c r="F119" s="42"/>
      <c r="G119" s="42">
        <v>4</v>
      </c>
      <c r="H119" s="42">
        <f t="shared" si="10"/>
        <v>0.99</v>
      </c>
    </row>
    <row r="120" spans="1:8" s="103" customFormat="1">
      <c r="A120" s="34"/>
      <c r="B120" s="104"/>
      <c r="C120" s="42"/>
      <c r="D120" s="42">
        <v>0.55000000000000004</v>
      </c>
      <c r="E120" s="42">
        <v>0.9</v>
      </c>
      <c r="F120" s="42"/>
      <c r="G120" s="42">
        <v>4</v>
      </c>
      <c r="H120" s="42">
        <f t="shared" si="10"/>
        <v>1.98</v>
      </c>
    </row>
    <row r="121" spans="1:8" s="103" customFormat="1">
      <c r="A121" s="42"/>
      <c r="B121" s="110"/>
      <c r="C121" s="107"/>
      <c r="D121" s="42"/>
      <c r="E121" s="42"/>
      <c r="F121" s="42"/>
      <c r="G121" s="105" t="s">
        <v>162</v>
      </c>
      <c r="H121" s="105">
        <f>SUM(H110:H120)</f>
        <v>370.73</v>
      </c>
    </row>
    <row r="122" spans="1:8" s="103" customFormat="1">
      <c r="A122" s="42"/>
      <c r="B122" s="104"/>
      <c r="C122" s="42"/>
      <c r="D122" s="42"/>
      <c r="E122" s="42"/>
      <c r="F122" s="42"/>
      <c r="G122" s="42"/>
      <c r="H122" s="42"/>
    </row>
    <row r="123" spans="1:8" s="103" customFormat="1" ht="41.4">
      <c r="A123" s="33" t="s">
        <v>57</v>
      </c>
      <c r="B123" s="35" t="s">
        <v>59</v>
      </c>
      <c r="C123" s="40" t="s">
        <v>21</v>
      </c>
      <c r="D123" s="42"/>
      <c r="E123" s="42"/>
      <c r="F123" s="42"/>
      <c r="G123" s="42"/>
      <c r="H123" s="42"/>
    </row>
    <row r="124" spans="1:8" s="103" customFormat="1">
      <c r="A124" s="33"/>
      <c r="B124" s="110" t="s">
        <v>436</v>
      </c>
      <c r="C124" s="40"/>
      <c r="D124" s="42">
        <v>26.6</v>
      </c>
      <c r="E124" s="42">
        <f>(0.2+0.5)/2</f>
        <v>0.35</v>
      </c>
      <c r="F124" s="42"/>
      <c r="G124" s="42">
        <v>1</v>
      </c>
      <c r="H124" s="42">
        <f t="shared" ref="H124:H127" si="11">ROUND(G124*E124*D124,2)</f>
        <v>9.31</v>
      </c>
    </row>
    <row r="125" spans="1:8" s="103" customFormat="1">
      <c r="A125" s="33"/>
      <c r="B125" s="35"/>
      <c r="C125" s="40"/>
      <c r="D125" s="42">
        <v>38</v>
      </c>
      <c r="E125" s="42">
        <f>(0.2+0.8)/2</f>
        <v>0.5</v>
      </c>
      <c r="F125" s="42"/>
      <c r="G125" s="42">
        <v>1</v>
      </c>
      <c r="H125" s="42">
        <f t="shared" si="11"/>
        <v>19</v>
      </c>
    </row>
    <row r="126" spans="1:8" s="103" customFormat="1">
      <c r="A126" s="33"/>
      <c r="B126" s="110" t="s">
        <v>437</v>
      </c>
      <c r="C126" s="40"/>
      <c r="D126" s="42">
        <v>26.6</v>
      </c>
      <c r="E126" s="42">
        <f>(0.8+1.7)/2</f>
        <v>1.25</v>
      </c>
      <c r="F126" s="42"/>
      <c r="G126" s="42">
        <v>1</v>
      </c>
      <c r="H126" s="42">
        <f t="shared" si="11"/>
        <v>33.25</v>
      </c>
    </row>
    <row r="127" spans="1:8" s="103" customFormat="1">
      <c r="A127" s="33"/>
      <c r="B127" s="35"/>
      <c r="C127" s="40"/>
      <c r="D127" s="42">
        <v>38</v>
      </c>
      <c r="E127" s="42">
        <f>(0.5+1.7)/2</f>
        <v>1.1000000000000001</v>
      </c>
      <c r="F127" s="42"/>
      <c r="G127" s="42">
        <v>1</v>
      </c>
      <c r="H127" s="42">
        <f t="shared" si="11"/>
        <v>41.8</v>
      </c>
    </row>
    <row r="128" spans="1:8" s="103" customFormat="1">
      <c r="A128" s="42"/>
      <c r="B128" s="110" t="s">
        <v>184</v>
      </c>
      <c r="C128" s="107"/>
      <c r="D128" s="42">
        <v>34</v>
      </c>
      <c r="E128" s="42">
        <v>1</v>
      </c>
      <c r="F128" s="42"/>
      <c r="G128" s="42">
        <v>4</v>
      </c>
      <c r="H128" s="42">
        <f>ROUND(G128*E128*D128,2)</f>
        <v>136</v>
      </c>
    </row>
    <row r="129" spans="1:8" s="103" customFormat="1">
      <c r="A129" s="42"/>
      <c r="B129" s="104" t="s">
        <v>185</v>
      </c>
      <c r="C129" s="42"/>
      <c r="D129" s="42">
        <v>20.6</v>
      </c>
      <c r="E129" s="42">
        <v>1</v>
      </c>
      <c r="F129" s="42"/>
      <c r="G129" s="42">
        <v>4</v>
      </c>
      <c r="H129" s="42">
        <f t="shared" ref="H129:H135" si="12">ROUND(G129*E129*D129,2)</f>
        <v>82.4</v>
      </c>
    </row>
    <row r="130" spans="1:8" s="103" customFormat="1">
      <c r="A130" s="42"/>
      <c r="B130" s="104" t="s">
        <v>193</v>
      </c>
      <c r="C130" s="42"/>
      <c r="D130" s="42">
        <f>34+34+20.6+20.6</f>
        <v>109.19999999999999</v>
      </c>
      <c r="E130" s="42"/>
      <c r="F130" s="42">
        <v>0.2</v>
      </c>
      <c r="G130" s="42">
        <v>1</v>
      </c>
      <c r="H130" s="42">
        <f>ROUND(G130*F130*D130,2)</f>
        <v>21.84</v>
      </c>
    </row>
    <row r="131" spans="1:8" s="103" customFormat="1">
      <c r="A131" s="42"/>
      <c r="B131" s="113" t="s">
        <v>191</v>
      </c>
      <c r="C131" s="114"/>
      <c r="D131" s="112">
        <v>2</v>
      </c>
      <c r="E131" s="112">
        <v>1</v>
      </c>
      <c r="F131" s="112"/>
      <c r="G131" s="112">
        <v>-4</v>
      </c>
      <c r="H131" s="112">
        <f t="shared" si="12"/>
        <v>-8</v>
      </c>
    </row>
    <row r="132" spans="1:8" s="103" customFormat="1">
      <c r="A132" s="34"/>
      <c r="B132" s="104" t="s">
        <v>192</v>
      </c>
      <c r="C132" s="42"/>
      <c r="D132" s="42">
        <v>15</v>
      </c>
      <c r="E132" s="42">
        <v>0.45</v>
      </c>
      <c r="F132" s="42"/>
      <c r="G132" s="42">
        <v>4</v>
      </c>
      <c r="H132" s="42">
        <f t="shared" si="12"/>
        <v>27</v>
      </c>
    </row>
    <row r="133" spans="1:8" s="103" customFormat="1">
      <c r="A133" s="42"/>
      <c r="B133" s="104"/>
      <c r="C133" s="42"/>
      <c r="D133" s="42">
        <v>15</v>
      </c>
      <c r="E133" s="42">
        <v>0.9</v>
      </c>
      <c r="F133" s="42"/>
      <c r="G133" s="42">
        <v>2</v>
      </c>
      <c r="H133" s="42">
        <f t="shared" si="12"/>
        <v>27</v>
      </c>
    </row>
    <row r="134" spans="1:8" s="103" customFormat="1">
      <c r="A134" s="42"/>
      <c r="B134" s="104" t="s">
        <v>190</v>
      </c>
      <c r="C134" s="42"/>
      <c r="D134" s="42">
        <v>0.55000000000000004</v>
      </c>
      <c r="E134" s="42">
        <v>0.45</v>
      </c>
      <c r="F134" s="42"/>
      <c r="G134" s="42">
        <v>4</v>
      </c>
      <c r="H134" s="42">
        <f t="shared" si="12"/>
        <v>0.99</v>
      </c>
    </row>
    <row r="135" spans="1:8" s="103" customFormat="1">
      <c r="A135" s="42"/>
      <c r="B135" s="104"/>
      <c r="C135" s="42"/>
      <c r="D135" s="42">
        <v>0.55000000000000004</v>
      </c>
      <c r="E135" s="42">
        <v>0.9</v>
      </c>
      <c r="F135" s="42"/>
      <c r="G135" s="42">
        <v>4</v>
      </c>
      <c r="H135" s="42">
        <f t="shared" si="12"/>
        <v>1.98</v>
      </c>
    </row>
    <row r="136" spans="1:8" s="103" customFormat="1">
      <c r="A136" s="42"/>
      <c r="B136" s="110"/>
      <c r="C136" s="107"/>
      <c r="D136" s="42"/>
      <c r="E136" s="42"/>
      <c r="F136" s="42"/>
      <c r="G136" s="105" t="s">
        <v>162</v>
      </c>
      <c r="H136" s="105">
        <f>SUM(H124:H135)</f>
        <v>392.57</v>
      </c>
    </row>
    <row r="137" spans="1:8" s="103" customFormat="1">
      <c r="A137" s="42"/>
      <c r="B137" s="104"/>
      <c r="C137" s="42"/>
      <c r="D137" s="42"/>
      <c r="E137" s="42"/>
      <c r="F137" s="42"/>
      <c r="G137" s="42"/>
      <c r="H137" s="42"/>
    </row>
    <row r="138" spans="1:8" s="103" customFormat="1">
      <c r="A138" s="33" t="s">
        <v>60</v>
      </c>
      <c r="B138" s="35" t="s">
        <v>62</v>
      </c>
      <c r="C138" s="34" t="s">
        <v>35</v>
      </c>
      <c r="D138" s="42"/>
      <c r="E138" s="42"/>
      <c r="F138" s="42"/>
      <c r="G138" s="42"/>
      <c r="H138" s="42"/>
    </row>
    <row r="139" spans="1:8" s="103" customFormat="1">
      <c r="A139" s="42"/>
      <c r="B139" s="104" t="s">
        <v>194</v>
      </c>
      <c r="C139" s="42"/>
      <c r="D139" s="42">
        <v>33.700000000000003</v>
      </c>
      <c r="E139" s="42">
        <v>0.15</v>
      </c>
      <c r="F139" s="42">
        <v>20.3</v>
      </c>
      <c r="G139" s="42">
        <v>1</v>
      </c>
      <c r="H139" s="42">
        <f>ROUND(G139*F139*E139*D139,2)</f>
        <v>102.62</v>
      </c>
    </row>
    <row r="140" spans="1:8" s="103" customFormat="1">
      <c r="A140" s="42"/>
      <c r="B140" s="104" t="s">
        <v>173</v>
      </c>
      <c r="C140" s="42"/>
      <c r="D140" s="42">
        <v>14.6</v>
      </c>
      <c r="E140" s="42">
        <v>0.45</v>
      </c>
      <c r="F140" s="42">
        <v>0.35</v>
      </c>
      <c r="G140" s="42">
        <v>2</v>
      </c>
      <c r="H140" s="42">
        <f>ROUND(G140*F140*E140*D140,2)</f>
        <v>4.5999999999999996</v>
      </c>
    </row>
    <row r="141" spans="1:8" s="103" customFormat="1">
      <c r="A141" s="42"/>
      <c r="B141" s="104"/>
      <c r="C141" s="42"/>
      <c r="D141" s="42">
        <v>14.6</v>
      </c>
      <c r="E141" s="42">
        <v>0.9</v>
      </c>
      <c r="F141" s="42">
        <v>0.15</v>
      </c>
      <c r="G141" s="42">
        <v>2</v>
      </c>
      <c r="H141" s="42">
        <f>ROUND(G141*F141*E141*D141,2)</f>
        <v>3.94</v>
      </c>
    </row>
    <row r="142" spans="1:8" s="103" customFormat="1">
      <c r="A142" s="42"/>
      <c r="B142" s="104"/>
      <c r="C142" s="42"/>
      <c r="D142" s="42"/>
      <c r="E142" s="42"/>
      <c r="F142" s="42"/>
      <c r="G142" s="105" t="s">
        <v>162</v>
      </c>
      <c r="H142" s="105">
        <f>SUM(H139:H141)</f>
        <v>111.16</v>
      </c>
    </row>
    <row r="143" spans="1:8" s="103" customFormat="1">
      <c r="A143" s="42"/>
      <c r="B143" s="104"/>
      <c r="C143" s="42"/>
      <c r="D143" s="42"/>
      <c r="E143" s="42"/>
      <c r="F143" s="42"/>
      <c r="G143" s="42"/>
      <c r="H143" s="42"/>
    </row>
    <row r="144" spans="1:8" s="103" customFormat="1" ht="41.4">
      <c r="A144" s="33" t="s">
        <v>63</v>
      </c>
      <c r="B144" s="35" t="s">
        <v>65</v>
      </c>
      <c r="C144" s="34" t="s">
        <v>35</v>
      </c>
      <c r="D144" s="42"/>
      <c r="E144" s="42"/>
      <c r="F144" s="42"/>
      <c r="G144" s="42"/>
      <c r="H144" s="42"/>
    </row>
    <row r="145" spans="1:8" s="103" customFormat="1">
      <c r="A145" s="42"/>
      <c r="B145" s="104" t="s">
        <v>173</v>
      </c>
      <c r="C145" s="42"/>
      <c r="D145" s="42">
        <v>15</v>
      </c>
      <c r="E145" s="42">
        <v>0.05</v>
      </c>
      <c r="F145" s="42">
        <v>0.55000000000000004</v>
      </c>
      <c r="G145" s="42">
        <v>4</v>
      </c>
      <c r="H145" s="42">
        <f>ROUND(G145*F145*E145*D145,2)</f>
        <v>1.65</v>
      </c>
    </row>
    <row r="146" spans="1:8" s="103" customFormat="1">
      <c r="A146" s="42"/>
      <c r="B146" s="104"/>
      <c r="C146" s="42"/>
      <c r="D146" s="42"/>
      <c r="E146" s="42"/>
      <c r="F146" s="42"/>
      <c r="G146" s="105" t="s">
        <v>162</v>
      </c>
      <c r="H146" s="105">
        <f>SUM(H145)</f>
        <v>1.65</v>
      </c>
    </row>
    <row r="147" spans="1:8" s="103" customFormat="1">
      <c r="A147" s="42"/>
      <c r="B147" s="104"/>
      <c r="C147" s="42"/>
      <c r="D147" s="42"/>
      <c r="E147" s="42"/>
      <c r="F147" s="42"/>
      <c r="G147" s="42"/>
      <c r="H147" s="42"/>
    </row>
    <row r="148" spans="1:8" s="103" customFormat="1">
      <c r="A148" s="108" t="s">
        <v>67</v>
      </c>
      <c r="B148" s="109" t="s">
        <v>68</v>
      </c>
      <c r="C148" s="43"/>
      <c r="D148" s="42"/>
      <c r="E148" s="42"/>
      <c r="F148" s="42"/>
      <c r="G148" s="42"/>
      <c r="H148" s="42"/>
    </row>
    <row r="149" spans="1:8" s="103" customFormat="1" ht="55.2">
      <c r="A149" s="33" t="s">
        <v>69</v>
      </c>
      <c r="B149" s="35" t="s">
        <v>71</v>
      </c>
      <c r="C149" s="40" t="s">
        <v>21</v>
      </c>
      <c r="D149" s="42"/>
      <c r="E149" s="42"/>
      <c r="F149" s="42"/>
      <c r="G149" s="42"/>
      <c r="H149" s="42"/>
    </row>
    <row r="150" spans="1:8" s="103" customFormat="1">
      <c r="A150" s="42"/>
      <c r="B150" s="104" t="s">
        <v>195</v>
      </c>
      <c r="C150" s="42"/>
      <c r="D150" s="42">
        <v>34</v>
      </c>
      <c r="E150" s="42">
        <v>1.35</v>
      </c>
      <c r="F150" s="42"/>
      <c r="G150" s="42">
        <v>2</v>
      </c>
      <c r="H150" s="42">
        <f>ROUND(G150*E150*D150,2)</f>
        <v>91.8</v>
      </c>
    </row>
    <row r="151" spans="1:8" s="103" customFormat="1">
      <c r="A151" s="42"/>
      <c r="B151" s="104" t="s">
        <v>196</v>
      </c>
      <c r="C151" s="42"/>
      <c r="D151" s="42">
        <v>2.1</v>
      </c>
      <c r="E151" s="42">
        <v>1.25</v>
      </c>
      <c r="F151" s="42"/>
      <c r="G151" s="42">
        <v>2</v>
      </c>
      <c r="H151" s="42">
        <f>ROUND(G151*E151*D151,2)</f>
        <v>5.25</v>
      </c>
    </row>
    <row r="152" spans="1:8" s="103" customFormat="1">
      <c r="A152" s="42"/>
      <c r="B152" s="104"/>
      <c r="C152" s="42"/>
      <c r="D152" s="42">
        <v>2.75</v>
      </c>
      <c r="E152" s="42">
        <f>(1.25/2)</f>
        <v>0.625</v>
      </c>
      <c r="F152" s="42"/>
      <c r="G152" s="42">
        <v>2</v>
      </c>
      <c r="H152" s="42">
        <f>ROUND(G152*E152*D152,2)</f>
        <v>3.44</v>
      </c>
    </row>
    <row r="153" spans="1:8" s="103" customFormat="1">
      <c r="A153" s="42"/>
      <c r="B153" s="104" t="s">
        <v>197</v>
      </c>
      <c r="C153" s="42"/>
      <c r="D153" s="42">
        <v>20.55</v>
      </c>
      <c r="E153" s="42">
        <v>2.6</v>
      </c>
      <c r="F153" s="42"/>
      <c r="G153" s="42">
        <v>2</v>
      </c>
      <c r="H153" s="42">
        <f>ROUND(G153*E153*D153,2)</f>
        <v>106.86</v>
      </c>
    </row>
    <row r="154" spans="1:8" s="103" customFormat="1">
      <c r="A154" s="34"/>
      <c r="B154" s="110" t="s">
        <v>198</v>
      </c>
      <c r="C154" s="107"/>
      <c r="D154" s="42">
        <v>2</v>
      </c>
      <c r="E154" s="42">
        <v>1</v>
      </c>
      <c r="F154" s="42"/>
      <c r="G154" s="42">
        <v>2</v>
      </c>
      <c r="H154" s="42">
        <f>ROUND(G154*E154*D154,2)</f>
        <v>4</v>
      </c>
    </row>
    <row r="155" spans="1:8" s="103" customFormat="1">
      <c r="A155" s="42"/>
      <c r="B155" s="104"/>
      <c r="C155" s="42"/>
      <c r="D155" s="42"/>
      <c r="E155" s="42"/>
      <c r="F155" s="42"/>
      <c r="G155" s="105" t="s">
        <v>162</v>
      </c>
      <c r="H155" s="105">
        <f>SUM(H150:H154)</f>
        <v>211.35</v>
      </c>
    </row>
    <row r="156" spans="1:8" s="103" customFormat="1">
      <c r="A156" s="34"/>
      <c r="B156" s="110"/>
      <c r="C156" s="107"/>
      <c r="D156" s="42"/>
      <c r="E156" s="42"/>
      <c r="F156" s="42"/>
      <c r="G156" s="42"/>
      <c r="H156" s="42"/>
    </row>
    <row r="157" spans="1:8" s="103" customFormat="1">
      <c r="A157" s="108" t="s">
        <v>73</v>
      </c>
      <c r="B157" s="109" t="s">
        <v>74</v>
      </c>
      <c r="C157" s="43"/>
      <c r="D157" s="42"/>
      <c r="E157" s="42"/>
      <c r="F157" s="42"/>
      <c r="G157" s="42"/>
      <c r="H157" s="42"/>
    </row>
    <row r="158" spans="1:8" s="103" customFormat="1" ht="27.6">
      <c r="A158" s="33" t="s">
        <v>75</v>
      </c>
      <c r="B158" s="35" t="s">
        <v>77</v>
      </c>
      <c r="C158" s="40" t="s">
        <v>21</v>
      </c>
      <c r="D158" s="42"/>
      <c r="E158" s="42"/>
      <c r="F158" s="42"/>
      <c r="G158" s="42"/>
      <c r="H158" s="42"/>
    </row>
    <row r="159" spans="1:8" s="103" customFormat="1">
      <c r="A159" s="42"/>
      <c r="B159" s="110" t="s">
        <v>199</v>
      </c>
      <c r="C159" s="107"/>
      <c r="D159" s="42">
        <v>33.700000000000003</v>
      </c>
      <c r="E159" s="42"/>
      <c r="F159" s="42">
        <v>20.3</v>
      </c>
      <c r="G159" s="42"/>
      <c r="H159" s="42">
        <f>ROUND(F159*D159,2)</f>
        <v>684.11</v>
      </c>
    </row>
    <row r="160" spans="1:8" s="103" customFormat="1">
      <c r="A160" s="42"/>
      <c r="B160" s="104"/>
      <c r="C160" s="42"/>
      <c r="D160" s="42"/>
      <c r="E160" s="42"/>
      <c r="F160" s="42"/>
      <c r="G160" s="105" t="s">
        <v>162</v>
      </c>
      <c r="H160" s="105">
        <f>H159</f>
        <v>684.11</v>
      </c>
    </row>
    <row r="161" spans="1:8" s="103" customFormat="1">
      <c r="A161" s="76"/>
      <c r="B161" s="110"/>
      <c r="C161" s="107"/>
      <c r="D161" s="42"/>
      <c r="E161" s="42"/>
      <c r="F161" s="42"/>
      <c r="G161" s="42"/>
      <c r="H161" s="42"/>
    </row>
    <row r="162" spans="1:8" s="103" customFormat="1" ht="27.6">
      <c r="A162" s="33" t="s">
        <v>78</v>
      </c>
      <c r="B162" s="35" t="s">
        <v>79</v>
      </c>
      <c r="C162" s="40" t="s">
        <v>21</v>
      </c>
      <c r="D162" s="42"/>
      <c r="E162" s="42"/>
      <c r="F162" s="42"/>
      <c r="G162" s="42"/>
      <c r="H162" s="42"/>
    </row>
    <row r="163" spans="1:8" s="103" customFormat="1">
      <c r="A163" s="34"/>
      <c r="B163" s="110" t="s">
        <v>199</v>
      </c>
      <c r="C163" s="107"/>
      <c r="D163" s="42">
        <v>33.700000000000003</v>
      </c>
      <c r="E163" s="42"/>
      <c r="F163" s="42">
        <v>20.3</v>
      </c>
      <c r="G163" s="42"/>
      <c r="H163" s="42">
        <f>ROUND(F163*D163,2)</f>
        <v>684.11</v>
      </c>
    </row>
    <row r="164" spans="1:8" s="103" customFormat="1">
      <c r="A164" s="42"/>
      <c r="B164" s="104"/>
      <c r="C164" s="42"/>
      <c r="D164" s="42"/>
      <c r="E164" s="42"/>
      <c r="F164" s="42"/>
      <c r="G164" s="105" t="s">
        <v>162</v>
      </c>
      <c r="H164" s="105">
        <f>H163</f>
        <v>684.11</v>
      </c>
    </row>
    <row r="165" spans="1:8" s="103" customFormat="1">
      <c r="A165" s="42"/>
      <c r="B165" s="110"/>
      <c r="C165" s="107"/>
      <c r="D165" s="42"/>
      <c r="E165" s="42"/>
      <c r="F165" s="42"/>
      <c r="G165" s="42"/>
      <c r="H165" s="42"/>
    </row>
    <row r="166" spans="1:8" s="103" customFormat="1">
      <c r="A166" s="33" t="s">
        <v>80</v>
      </c>
      <c r="B166" s="35" t="s">
        <v>82</v>
      </c>
      <c r="C166" s="40" t="s">
        <v>21</v>
      </c>
      <c r="D166" s="42"/>
      <c r="E166" s="42"/>
      <c r="F166" s="42"/>
      <c r="G166" s="42"/>
      <c r="H166" s="42"/>
    </row>
    <row r="167" spans="1:8" s="103" customFormat="1">
      <c r="A167" s="34"/>
      <c r="B167" s="110" t="s">
        <v>199</v>
      </c>
      <c r="C167" s="107"/>
      <c r="D167" s="42">
        <v>33.700000000000003</v>
      </c>
      <c r="E167" s="42"/>
      <c r="F167" s="42">
        <v>20.3</v>
      </c>
      <c r="G167" s="42"/>
      <c r="H167" s="42">
        <f>ROUND(F167*D167,2)</f>
        <v>684.11</v>
      </c>
    </row>
    <row r="168" spans="1:8" s="103" customFormat="1">
      <c r="A168" s="42"/>
      <c r="B168" s="104"/>
      <c r="C168" s="42"/>
      <c r="D168" s="42"/>
      <c r="E168" s="42"/>
      <c r="F168" s="42"/>
      <c r="G168" s="105" t="s">
        <v>162</v>
      </c>
      <c r="H168" s="105">
        <f>H167</f>
        <v>684.11</v>
      </c>
    </row>
    <row r="169" spans="1:8" s="103" customFormat="1">
      <c r="A169" s="42"/>
      <c r="B169" s="104"/>
      <c r="C169" s="42"/>
      <c r="D169" s="42"/>
      <c r="E169" s="42"/>
      <c r="F169" s="42"/>
      <c r="G169" s="42"/>
      <c r="H169" s="42"/>
    </row>
    <row r="170" spans="1:8" s="103" customFormat="1" ht="41.4">
      <c r="A170" s="33" t="s">
        <v>83</v>
      </c>
      <c r="B170" s="35" t="s">
        <v>65</v>
      </c>
      <c r="C170" s="34" t="s">
        <v>35</v>
      </c>
      <c r="D170" s="42"/>
      <c r="E170" s="42"/>
      <c r="F170" s="42"/>
      <c r="G170" s="42"/>
      <c r="H170" s="42"/>
    </row>
    <row r="171" spans="1:8" s="103" customFormat="1">
      <c r="A171" s="34"/>
      <c r="B171" s="115" t="s">
        <v>200</v>
      </c>
      <c r="C171" s="107"/>
      <c r="D171" s="42">
        <v>38</v>
      </c>
      <c r="E171" s="42">
        <v>0.05</v>
      </c>
      <c r="F171" s="42">
        <v>3</v>
      </c>
      <c r="G171" s="42">
        <v>2</v>
      </c>
      <c r="H171" s="42">
        <f>ROUND(F171*E171*D171*G171,2)</f>
        <v>11.4</v>
      </c>
    </row>
    <row r="172" spans="1:8" s="103" customFormat="1">
      <c r="A172" s="34"/>
      <c r="B172" s="115" t="s">
        <v>201</v>
      </c>
      <c r="C172" s="107"/>
      <c r="D172" s="42">
        <v>20.6</v>
      </c>
      <c r="E172" s="42">
        <v>0.05</v>
      </c>
      <c r="F172" s="42">
        <v>2</v>
      </c>
      <c r="G172" s="42">
        <v>2</v>
      </c>
      <c r="H172" s="42">
        <f>ROUND(F172*E172*D172*G172,2)</f>
        <v>4.12</v>
      </c>
    </row>
    <row r="173" spans="1:8" s="103" customFormat="1">
      <c r="A173" s="34"/>
      <c r="B173" s="116" t="s">
        <v>202</v>
      </c>
      <c r="C173" s="114"/>
      <c r="D173" s="112">
        <v>15</v>
      </c>
      <c r="E173" s="112">
        <v>0.05</v>
      </c>
      <c r="F173" s="112">
        <v>1.1000000000000001</v>
      </c>
      <c r="G173" s="112">
        <v>-2</v>
      </c>
      <c r="H173" s="112">
        <f>ROUND(F173*E173*D173*G173,2)</f>
        <v>-1.65</v>
      </c>
    </row>
    <row r="174" spans="1:8" s="103" customFormat="1">
      <c r="A174" s="34"/>
      <c r="B174" s="110"/>
      <c r="C174" s="107"/>
      <c r="D174" s="42"/>
      <c r="E174" s="42"/>
      <c r="F174" s="42"/>
      <c r="G174" s="105" t="s">
        <v>162</v>
      </c>
      <c r="H174" s="105">
        <f>SUM(H171:H173)</f>
        <v>13.87</v>
      </c>
    </row>
    <row r="175" spans="1:8" s="103" customFormat="1">
      <c r="A175" s="42"/>
      <c r="B175" s="104"/>
      <c r="C175" s="42"/>
      <c r="D175" s="42"/>
      <c r="E175" s="42"/>
      <c r="F175" s="42"/>
      <c r="G175" s="42"/>
      <c r="H175" s="42"/>
    </row>
    <row r="176" spans="1:8" s="103" customFormat="1">
      <c r="A176" s="108" t="s">
        <v>85</v>
      </c>
      <c r="B176" s="109" t="s">
        <v>86</v>
      </c>
      <c r="C176" s="43"/>
      <c r="D176" s="42"/>
      <c r="E176" s="42"/>
      <c r="F176" s="42"/>
      <c r="G176" s="42"/>
      <c r="H176" s="42"/>
    </row>
    <row r="177" spans="1:11" s="103" customFormat="1" ht="27.6">
      <c r="A177" s="33" t="s">
        <v>87</v>
      </c>
      <c r="B177" s="75" t="s">
        <v>88</v>
      </c>
      <c r="C177" s="40" t="s">
        <v>89</v>
      </c>
      <c r="D177" s="42"/>
      <c r="E177" s="42"/>
      <c r="F177" s="42"/>
      <c r="G177" s="42"/>
      <c r="H177" s="42"/>
      <c r="K177" s="103">
        <f>33.6-30</f>
        <v>3.6000000000000014</v>
      </c>
    </row>
    <row r="178" spans="1:11" s="103" customFormat="1">
      <c r="A178" s="42"/>
      <c r="B178" s="104" t="s">
        <v>203</v>
      </c>
      <c r="C178" s="42"/>
      <c r="D178" s="42"/>
      <c r="E178" s="42"/>
      <c r="F178" s="42"/>
      <c r="G178" s="42"/>
      <c r="H178" s="42">
        <v>1</v>
      </c>
      <c r="K178" s="103">
        <f>3.6/2</f>
        <v>1.8</v>
      </c>
    </row>
    <row r="179" spans="1:11" s="103" customFormat="1">
      <c r="A179" s="34"/>
      <c r="B179" s="110"/>
      <c r="C179" s="107"/>
      <c r="D179" s="42"/>
      <c r="E179" s="42"/>
      <c r="F179" s="42"/>
      <c r="G179" s="105" t="s">
        <v>162</v>
      </c>
      <c r="H179" s="105">
        <f>H178</f>
        <v>1</v>
      </c>
    </row>
    <row r="180" spans="1:11" s="103" customFormat="1">
      <c r="A180" s="42"/>
      <c r="B180" s="104"/>
      <c r="C180" s="42"/>
      <c r="D180" s="42"/>
      <c r="E180" s="42"/>
      <c r="F180" s="42"/>
      <c r="G180" s="42"/>
      <c r="H180" s="42"/>
    </row>
    <row r="181" spans="1:11" s="103" customFormat="1" ht="27.6">
      <c r="A181" s="33" t="s">
        <v>90</v>
      </c>
      <c r="B181" s="35" t="s">
        <v>92</v>
      </c>
      <c r="C181" s="40" t="s">
        <v>28</v>
      </c>
      <c r="D181" s="42"/>
      <c r="E181" s="42"/>
      <c r="F181" s="42"/>
      <c r="G181" s="42"/>
      <c r="H181" s="42"/>
    </row>
    <row r="182" spans="1:11" s="103" customFormat="1">
      <c r="A182" s="42"/>
      <c r="B182" s="104" t="s">
        <v>204</v>
      </c>
      <c r="C182" s="42"/>
      <c r="D182" s="42">
        <f>6.5+25.6+26+6.5+25.6</f>
        <v>90.199999999999989</v>
      </c>
      <c r="E182" s="42"/>
      <c r="F182" s="42"/>
      <c r="G182" s="42"/>
      <c r="H182" s="42">
        <f>D182</f>
        <v>90.199999999999989</v>
      </c>
    </row>
    <row r="183" spans="1:11" s="103" customFormat="1">
      <c r="A183" s="34"/>
      <c r="B183" s="115"/>
      <c r="C183" s="107"/>
      <c r="D183" s="42"/>
      <c r="E183" s="42"/>
      <c r="F183" s="42"/>
      <c r="G183" s="105" t="s">
        <v>162</v>
      </c>
      <c r="H183" s="105">
        <f>H182</f>
        <v>90.199999999999989</v>
      </c>
    </row>
    <row r="184" spans="1:11" s="103" customFormat="1">
      <c r="A184" s="34"/>
      <c r="B184" s="110"/>
      <c r="C184" s="107"/>
      <c r="D184" s="42"/>
      <c r="E184" s="42"/>
      <c r="F184" s="42"/>
      <c r="G184" s="42"/>
      <c r="H184" s="42"/>
    </row>
    <row r="185" spans="1:11" s="103" customFormat="1" ht="27.6">
      <c r="A185" s="33" t="s">
        <v>93</v>
      </c>
      <c r="B185" s="35" t="s">
        <v>95</v>
      </c>
      <c r="C185" s="40" t="s">
        <v>28</v>
      </c>
      <c r="D185" s="42"/>
      <c r="E185" s="42"/>
      <c r="F185" s="42"/>
      <c r="G185" s="42"/>
      <c r="H185" s="42"/>
    </row>
    <row r="186" spans="1:11" s="103" customFormat="1">
      <c r="A186" s="42"/>
      <c r="B186" s="104" t="s">
        <v>204</v>
      </c>
      <c r="C186" s="42"/>
      <c r="D186" s="42">
        <f>6.5+25.6+26+6.5+25.6</f>
        <v>90.199999999999989</v>
      </c>
      <c r="E186" s="42"/>
      <c r="F186" s="42"/>
      <c r="G186" s="42">
        <v>2</v>
      </c>
      <c r="H186" s="42">
        <f>ROUND(G186*D186,2)</f>
        <v>180.4</v>
      </c>
    </row>
    <row r="187" spans="1:11" s="103" customFormat="1">
      <c r="A187" s="42"/>
      <c r="B187" s="104" t="s">
        <v>205</v>
      </c>
      <c r="C187" s="42"/>
      <c r="D187" s="42">
        <v>7.5</v>
      </c>
      <c r="E187" s="42"/>
      <c r="F187" s="42"/>
      <c r="G187" s="42">
        <f>2*4</f>
        <v>8</v>
      </c>
      <c r="H187" s="42">
        <f>ROUND(G187*D187,2)</f>
        <v>60</v>
      </c>
    </row>
    <row r="188" spans="1:11" s="103" customFormat="1">
      <c r="A188" s="34"/>
      <c r="B188" s="110"/>
      <c r="C188" s="107"/>
      <c r="D188" s="42"/>
      <c r="E188" s="42"/>
      <c r="F188" s="42"/>
      <c r="G188" s="105" t="s">
        <v>162</v>
      </c>
      <c r="H188" s="105">
        <f>SUM(H186:H187)</f>
        <v>240.4</v>
      </c>
    </row>
    <row r="189" spans="1:11" s="103" customFormat="1">
      <c r="A189" s="42"/>
      <c r="B189" s="104"/>
      <c r="C189" s="42"/>
      <c r="D189" s="42"/>
      <c r="E189" s="42"/>
      <c r="F189" s="42"/>
      <c r="G189" s="42"/>
      <c r="H189" s="42"/>
    </row>
    <row r="190" spans="1:11" s="103" customFormat="1" ht="41.4">
      <c r="A190" s="33" t="s">
        <v>96</v>
      </c>
      <c r="B190" s="35" t="s">
        <v>98</v>
      </c>
      <c r="C190" s="40" t="s">
        <v>89</v>
      </c>
      <c r="D190" s="42"/>
      <c r="E190" s="42"/>
      <c r="F190" s="42"/>
      <c r="G190" s="42"/>
      <c r="H190" s="42"/>
    </row>
    <row r="191" spans="1:11" s="103" customFormat="1">
      <c r="A191" s="34"/>
      <c r="B191" s="104" t="s">
        <v>206</v>
      </c>
      <c r="C191" s="42"/>
      <c r="D191" s="42"/>
      <c r="E191" s="42"/>
      <c r="F191" s="42"/>
      <c r="G191" s="42"/>
      <c r="H191" s="42">
        <v>4</v>
      </c>
    </row>
    <row r="192" spans="1:11" s="103" customFormat="1">
      <c r="A192" s="34"/>
      <c r="B192" s="110"/>
      <c r="C192" s="107"/>
      <c r="D192" s="42"/>
      <c r="E192" s="42"/>
      <c r="F192" s="42"/>
      <c r="G192" s="105" t="s">
        <v>162</v>
      </c>
      <c r="H192" s="105">
        <f>H191</f>
        <v>4</v>
      </c>
    </row>
    <row r="193" spans="1:8" s="103" customFormat="1">
      <c r="A193" s="34"/>
      <c r="B193" s="115"/>
      <c r="C193" s="107"/>
      <c r="D193" s="42"/>
      <c r="E193" s="42"/>
      <c r="F193" s="42"/>
      <c r="G193" s="42"/>
      <c r="H193" s="42"/>
    </row>
    <row r="194" spans="1:8" s="103" customFormat="1" ht="27.6">
      <c r="A194" s="33" t="s">
        <v>99</v>
      </c>
      <c r="B194" s="35" t="s">
        <v>101</v>
      </c>
      <c r="C194" s="40" t="s">
        <v>89</v>
      </c>
      <c r="D194" s="42"/>
      <c r="E194" s="42"/>
      <c r="F194" s="42"/>
      <c r="G194" s="42"/>
      <c r="H194" s="42"/>
    </row>
    <row r="195" spans="1:8" s="103" customFormat="1">
      <c r="A195" s="34"/>
      <c r="B195" s="104" t="s">
        <v>207</v>
      </c>
      <c r="C195" s="42"/>
      <c r="D195" s="42"/>
      <c r="E195" s="42"/>
      <c r="F195" s="42"/>
      <c r="G195" s="42"/>
      <c r="H195" s="42">
        <v>4</v>
      </c>
    </row>
    <row r="196" spans="1:8" s="103" customFormat="1">
      <c r="A196" s="76"/>
      <c r="B196" s="110"/>
      <c r="C196" s="107"/>
      <c r="D196" s="42"/>
      <c r="E196" s="42"/>
      <c r="F196" s="42"/>
      <c r="G196" s="105" t="s">
        <v>162</v>
      </c>
      <c r="H196" s="105">
        <f>H195</f>
        <v>4</v>
      </c>
    </row>
    <row r="197" spans="1:8" s="103" customFormat="1">
      <c r="A197" s="76"/>
      <c r="B197" s="110"/>
      <c r="C197" s="107"/>
      <c r="D197" s="42"/>
      <c r="E197" s="42"/>
      <c r="F197" s="42"/>
      <c r="G197" s="42"/>
      <c r="H197" s="42"/>
    </row>
    <row r="198" spans="1:8" s="103" customFormat="1" ht="27.6">
      <c r="A198" s="33" t="s">
        <v>102</v>
      </c>
      <c r="B198" s="35" t="s">
        <v>34</v>
      </c>
      <c r="C198" s="34" t="s">
        <v>35</v>
      </c>
      <c r="D198" s="42"/>
      <c r="E198" s="42"/>
      <c r="F198" s="42"/>
      <c r="G198" s="42"/>
      <c r="H198" s="42"/>
    </row>
    <row r="199" spans="1:8" s="103" customFormat="1">
      <c r="A199" s="42"/>
      <c r="B199" s="104" t="s">
        <v>208</v>
      </c>
      <c r="C199" s="42"/>
      <c r="D199" s="42">
        <v>0.25</v>
      </c>
      <c r="E199" s="42">
        <v>0.5</v>
      </c>
      <c r="F199" s="42">
        <v>0.25</v>
      </c>
      <c r="G199" s="42">
        <v>4</v>
      </c>
      <c r="H199" s="42">
        <f>ROUND(G199*F199*E199*D199,2)</f>
        <v>0.13</v>
      </c>
    </row>
    <row r="200" spans="1:8" s="103" customFormat="1">
      <c r="A200" s="42"/>
      <c r="B200" s="104"/>
      <c r="C200" s="42"/>
      <c r="D200" s="42"/>
      <c r="E200" s="42"/>
      <c r="F200" s="42"/>
      <c r="G200" s="105" t="s">
        <v>162</v>
      </c>
      <c r="H200" s="105">
        <f>H199</f>
        <v>0.13</v>
      </c>
    </row>
    <row r="201" spans="1:8" s="103" customFormat="1">
      <c r="A201" s="42"/>
      <c r="B201" s="104"/>
      <c r="C201" s="42"/>
      <c r="D201" s="42"/>
      <c r="E201" s="42"/>
      <c r="F201" s="42"/>
      <c r="G201" s="42"/>
      <c r="H201" s="42"/>
    </row>
    <row r="202" spans="1:8" s="103" customFormat="1" ht="41.4">
      <c r="A202" s="33" t="s">
        <v>103</v>
      </c>
      <c r="B202" s="35" t="s">
        <v>42</v>
      </c>
      <c r="C202" s="34" t="s">
        <v>35</v>
      </c>
      <c r="D202" s="42"/>
      <c r="E202" s="42"/>
      <c r="F202" s="42"/>
      <c r="G202" s="42"/>
      <c r="H202" s="42"/>
    </row>
    <row r="203" spans="1:8" s="103" customFormat="1">
      <c r="A203" s="42"/>
      <c r="B203" s="104" t="s">
        <v>209</v>
      </c>
      <c r="C203" s="42"/>
      <c r="D203" s="42">
        <v>0.25</v>
      </c>
      <c r="E203" s="42">
        <v>0.5</v>
      </c>
      <c r="F203" s="42">
        <v>0.25</v>
      </c>
      <c r="G203" s="42">
        <v>4</v>
      </c>
      <c r="H203" s="42">
        <f>ROUND(G203*F203*E203*D203,2)</f>
        <v>0.13</v>
      </c>
    </row>
    <row r="204" spans="1:8" s="103" customFormat="1">
      <c r="A204" s="34"/>
      <c r="B204" s="104"/>
      <c r="C204" s="42"/>
      <c r="D204" s="42"/>
      <c r="E204" s="42"/>
      <c r="F204" s="42"/>
      <c r="G204" s="105" t="s">
        <v>162</v>
      </c>
      <c r="H204" s="105">
        <f>H203</f>
        <v>0.13</v>
      </c>
    </row>
    <row r="205" spans="1:8" s="103" customFormat="1">
      <c r="A205" s="34"/>
      <c r="B205" s="110"/>
      <c r="C205" s="107"/>
      <c r="D205" s="42"/>
      <c r="E205" s="42"/>
      <c r="F205" s="42"/>
      <c r="G205" s="42"/>
      <c r="H205" s="42"/>
    </row>
    <row r="206" spans="1:8" s="103" customFormat="1" ht="27.6">
      <c r="A206" s="33" t="s">
        <v>104</v>
      </c>
      <c r="B206" s="35" t="s">
        <v>106</v>
      </c>
      <c r="C206" s="40" t="s">
        <v>89</v>
      </c>
      <c r="D206" s="42"/>
      <c r="E206" s="42"/>
      <c r="F206" s="42"/>
      <c r="G206" s="42"/>
      <c r="H206" s="42"/>
    </row>
    <row r="207" spans="1:8" s="103" customFormat="1">
      <c r="A207" s="34"/>
      <c r="B207" s="104" t="s">
        <v>210</v>
      </c>
      <c r="C207" s="42"/>
      <c r="D207" s="42"/>
      <c r="E207" s="42"/>
      <c r="F207" s="42"/>
      <c r="G207" s="42"/>
      <c r="H207" s="42">
        <v>4</v>
      </c>
    </row>
    <row r="208" spans="1:8" s="103" customFormat="1">
      <c r="A208" s="34"/>
      <c r="B208" s="110"/>
      <c r="C208" s="107"/>
      <c r="D208" s="42"/>
      <c r="E208" s="42"/>
      <c r="F208" s="42"/>
      <c r="G208" s="105" t="s">
        <v>162</v>
      </c>
      <c r="H208" s="105">
        <f>H207</f>
        <v>4</v>
      </c>
    </row>
    <row r="209" spans="1:8" s="103" customFormat="1">
      <c r="A209" s="42"/>
      <c r="B209" s="104"/>
      <c r="C209" s="42"/>
      <c r="D209" s="42"/>
      <c r="E209" s="42"/>
      <c r="F209" s="42"/>
      <c r="G209" s="42"/>
      <c r="H209" s="42"/>
    </row>
    <row r="210" spans="1:8" s="103" customFormat="1" ht="27.6">
      <c r="A210" s="33" t="s">
        <v>107</v>
      </c>
      <c r="B210" s="35" t="s">
        <v>109</v>
      </c>
      <c r="C210" s="40" t="s">
        <v>89</v>
      </c>
      <c r="D210" s="42"/>
      <c r="E210" s="42"/>
      <c r="F210" s="42"/>
      <c r="G210" s="42"/>
      <c r="H210" s="42"/>
    </row>
    <row r="211" spans="1:8" s="103" customFormat="1">
      <c r="A211" s="34"/>
      <c r="B211" s="104" t="s">
        <v>211</v>
      </c>
      <c r="C211" s="42"/>
      <c r="D211" s="42"/>
      <c r="E211" s="42"/>
      <c r="F211" s="42"/>
      <c r="G211" s="42"/>
      <c r="H211" s="42">
        <v>1</v>
      </c>
    </row>
    <row r="212" spans="1:8" s="103" customFormat="1">
      <c r="A212" s="42"/>
      <c r="B212" s="110"/>
      <c r="C212" s="107"/>
      <c r="D212" s="42"/>
      <c r="E212" s="42"/>
      <c r="F212" s="42"/>
      <c r="G212" s="105" t="s">
        <v>162</v>
      </c>
      <c r="H212" s="105">
        <f>H211</f>
        <v>1</v>
      </c>
    </row>
    <row r="213" spans="1:8" s="103" customFormat="1">
      <c r="A213" s="42"/>
      <c r="B213" s="110"/>
      <c r="C213" s="107"/>
      <c r="D213" s="42"/>
      <c r="E213" s="42"/>
      <c r="F213" s="42"/>
      <c r="G213" s="42"/>
      <c r="H213" s="42"/>
    </row>
    <row r="214" spans="1:8" s="103" customFormat="1" ht="27.6">
      <c r="A214" s="33" t="s">
        <v>110</v>
      </c>
      <c r="B214" s="35" t="s">
        <v>112</v>
      </c>
      <c r="C214" s="40" t="s">
        <v>89</v>
      </c>
      <c r="D214" s="42"/>
      <c r="E214" s="42"/>
      <c r="F214" s="42"/>
      <c r="G214" s="42"/>
      <c r="H214" s="42"/>
    </row>
    <row r="215" spans="1:8" s="103" customFormat="1">
      <c r="A215" s="76"/>
      <c r="B215" s="104" t="s">
        <v>212</v>
      </c>
      <c r="C215" s="42"/>
      <c r="D215" s="42"/>
      <c r="E215" s="42"/>
      <c r="F215" s="42"/>
      <c r="G215" s="42"/>
      <c r="H215" s="42">
        <v>1</v>
      </c>
    </row>
    <row r="216" spans="1:8" s="103" customFormat="1">
      <c r="A216" s="42"/>
      <c r="B216" s="110"/>
      <c r="C216" s="107"/>
      <c r="D216" s="42"/>
      <c r="E216" s="42"/>
      <c r="F216" s="42"/>
      <c r="G216" s="105" t="s">
        <v>162</v>
      </c>
      <c r="H216" s="105">
        <f>H215</f>
        <v>1</v>
      </c>
    </row>
    <row r="217" spans="1:8" s="103" customFormat="1">
      <c r="A217" s="42"/>
      <c r="B217" s="104"/>
      <c r="C217" s="42"/>
      <c r="D217" s="42"/>
      <c r="E217" s="42"/>
      <c r="F217" s="42"/>
      <c r="G217" s="42"/>
      <c r="H217" s="42"/>
    </row>
    <row r="218" spans="1:8" s="103" customFormat="1" ht="27.6">
      <c r="A218" s="33" t="s">
        <v>113</v>
      </c>
      <c r="B218" s="35" t="s">
        <v>115</v>
      </c>
      <c r="C218" s="40" t="s">
        <v>89</v>
      </c>
      <c r="D218" s="42"/>
      <c r="E218" s="42"/>
      <c r="F218" s="42"/>
      <c r="G218" s="42"/>
      <c r="H218" s="42"/>
    </row>
    <row r="219" spans="1:8" s="103" customFormat="1">
      <c r="A219" s="76"/>
      <c r="B219" s="104" t="s">
        <v>213</v>
      </c>
      <c r="C219" s="42"/>
      <c r="D219" s="42"/>
      <c r="E219" s="42"/>
      <c r="F219" s="42"/>
      <c r="G219" s="42"/>
      <c r="H219" s="42">
        <v>2</v>
      </c>
    </row>
    <row r="220" spans="1:8" s="103" customFormat="1">
      <c r="A220" s="34"/>
      <c r="B220" s="110"/>
      <c r="C220" s="107"/>
      <c r="D220" s="42"/>
      <c r="E220" s="42"/>
      <c r="F220" s="42"/>
      <c r="G220" s="105" t="s">
        <v>162</v>
      </c>
      <c r="H220" s="105">
        <f>H219</f>
        <v>2</v>
      </c>
    </row>
    <row r="221" spans="1:8" s="103" customFormat="1">
      <c r="A221" s="34"/>
      <c r="B221" s="104"/>
      <c r="C221" s="42"/>
      <c r="D221" s="42"/>
      <c r="E221" s="42"/>
      <c r="F221" s="42"/>
      <c r="G221" s="42"/>
      <c r="H221" s="42"/>
    </row>
    <row r="222" spans="1:8" s="103" customFormat="1">
      <c r="A222" s="33" t="s">
        <v>116</v>
      </c>
      <c r="B222" s="35" t="s">
        <v>117</v>
      </c>
      <c r="C222" s="40" t="s">
        <v>89</v>
      </c>
      <c r="D222" s="42"/>
      <c r="E222" s="42"/>
      <c r="F222" s="42"/>
      <c r="G222" s="42"/>
      <c r="H222" s="42"/>
    </row>
    <row r="223" spans="1:8" s="103" customFormat="1">
      <c r="A223" s="76"/>
      <c r="B223" s="104" t="s">
        <v>214</v>
      </c>
      <c r="C223" s="42"/>
      <c r="D223" s="42"/>
      <c r="E223" s="42"/>
      <c r="F223" s="42"/>
      <c r="G223" s="42">
        <f>2*4</f>
        <v>8</v>
      </c>
      <c r="H223" s="42">
        <f>G223</f>
        <v>8</v>
      </c>
    </row>
    <row r="224" spans="1:8" s="103" customFormat="1">
      <c r="A224" s="76"/>
      <c r="B224" s="110"/>
      <c r="C224" s="107"/>
      <c r="D224" s="42"/>
      <c r="E224" s="42"/>
      <c r="F224" s="42"/>
      <c r="G224" s="105" t="s">
        <v>162</v>
      </c>
      <c r="H224" s="105">
        <f>H223</f>
        <v>8</v>
      </c>
    </row>
    <row r="225" spans="1:8" s="103" customFormat="1">
      <c r="A225" s="76"/>
      <c r="B225" s="104"/>
      <c r="C225" s="42"/>
      <c r="D225" s="42"/>
      <c r="E225" s="42"/>
      <c r="F225" s="42"/>
      <c r="G225" s="42"/>
      <c r="H225" s="42"/>
    </row>
    <row r="226" spans="1:8" s="103" customFormat="1">
      <c r="A226" s="108" t="s">
        <v>119</v>
      </c>
      <c r="B226" s="109" t="s">
        <v>120</v>
      </c>
      <c r="C226" s="43"/>
      <c r="D226" s="42"/>
      <c r="E226" s="42"/>
      <c r="F226" s="42"/>
      <c r="G226" s="42"/>
      <c r="H226" s="42"/>
    </row>
    <row r="227" spans="1:8" s="103" customFormat="1" ht="27.6">
      <c r="A227" s="33" t="s">
        <v>121</v>
      </c>
      <c r="B227" s="35" t="s">
        <v>123</v>
      </c>
      <c r="C227" s="34" t="s">
        <v>21</v>
      </c>
      <c r="D227" s="42"/>
      <c r="E227" s="42"/>
      <c r="F227" s="42"/>
      <c r="G227" s="42"/>
      <c r="H227" s="42"/>
    </row>
    <row r="228" spans="1:8" s="103" customFormat="1">
      <c r="A228" s="33"/>
      <c r="B228" s="110" t="s">
        <v>436</v>
      </c>
      <c r="C228" s="40"/>
      <c r="D228" s="42">
        <v>26.6</v>
      </c>
      <c r="E228" s="42">
        <f>(0.2+0.5)/2</f>
        <v>0.35</v>
      </c>
      <c r="F228" s="42"/>
      <c r="G228" s="42">
        <v>1</v>
      </c>
      <c r="H228" s="42">
        <f t="shared" ref="H228:H231" si="13">ROUND(G228*E228*D228,2)</f>
        <v>9.31</v>
      </c>
    </row>
    <row r="229" spans="1:8" s="103" customFormat="1">
      <c r="A229" s="33"/>
      <c r="B229" s="35"/>
      <c r="C229" s="40"/>
      <c r="D229" s="42">
        <v>38</v>
      </c>
      <c r="E229" s="42">
        <f>(0.2+0.8)/2</f>
        <v>0.5</v>
      </c>
      <c r="F229" s="42"/>
      <c r="G229" s="42">
        <v>1</v>
      </c>
      <c r="H229" s="42">
        <f t="shared" si="13"/>
        <v>19</v>
      </c>
    </row>
    <row r="230" spans="1:8" s="103" customFormat="1">
      <c r="A230" s="33"/>
      <c r="B230" s="110" t="s">
        <v>437</v>
      </c>
      <c r="C230" s="40"/>
      <c r="D230" s="42">
        <v>26.6</v>
      </c>
      <c r="E230" s="42">
        <f>(0.8+1.7)/2</f>
        <v>1.25</v>
      </c>
      <c r="F230" s="42"/>
      <c r="G230" s="42">
        <v>1</v>
      </c>
      <c r="H230" s="42">
        <f t="shared" si="13"/>
        <v>33.25</v>
      </c>
    </row>
    <row r="231" spans="1:8" s="103" customFormat="1">
      <c r="A231" s="33"/>
      <c r="B231" s="35"/>
      <c r="C231" s="40"/>
      <c r="D231" s="42">
        <v>38</v>
      </c>
      <c r="E231" s="42">
        <f>(0.5+1.7)/2</f>
        <v>1.1000000000000001</v>
      </c>
      <c r="F231" s="42"/>
      <c r="G231" s="42">
        <v>1</v>
      </c>
      <c r="H231" s="42">
        <f t="shared" si="13"/>
        <v>41.8</v>
      </c>
    </row>
    <row r="232" spans="1:8" s="103" customFormat="1">
      <c r="A232" s="76"/>
      <c r="B232" s="110" t="s">
        <v>184</v>
      </c>
      <c r="C232" s="107"/>
      <c r="D232" s="42">
        <v>34</v>
      </c>
      <c r="E232" s="42">
        <v>1</v>
      </c>
      <c r="F232" s="42"/>
      <c r="G232" s="42">
        <v>4</v>
      </c>
      <c r="H232" s="42">
        <f>ROUND(G232*E232*D232,2)</f>
        <v>136</v>
      </c>
    </row>
    <row r="233" spans="1:8" s="103" customFormat="1">
      <c r="A233" s="76"/>
      <c r="B233" s="104" t="s">
        <v>185</v>
      </c>
      <c r="C233" s="42"/>
      <c r="D233" s="42">
        <v>20.6</v>
      </c>
      <c r="E233" s="42">
        <v>1</v>
      </c>
      <c r="F233" s="42"/>
      <c r="G233" s="42">
        <v>4</v>
      </c>
      <c r="H233" s="42">
        <f>ROUND(G233*E233*D233,2)</f>
        <v>82.4</v>
      </c>
    </row>
    <row r="234" spans="1:8" s="103" customFormat="1">
      <c r="A234" s="76"/>
      <c r="B234" s="104" t="s">
        <v>193</v>
      </c>
      <c r="C234" s="42"/>
      <c r="D234" s="42">
        <f>34+34+20.6+20.6</f>
        <v>109.19999999999999</v>
      </c>
      <c r="E234" s="42"/>
      <c r="F234" s="42">
        <v>0.2</v>
      </c>
      <c r="G234" s="42">
        <v>1</v>
      </c>
      <c r="H234" s="42">
        <f>ROUND(G234*F234*D234,2)</f>
        <v>21.84</v>
      </c>
    </row>
    <row r="235" spans="1:8" s="103" customFormat="1">
      <c r="A235" s="76"/>
      <c r="B235" s="113" t="s">
        <v>191</v>
      </c>
      <c r="C235" s="114"/>
      <c r="D235" s="112">
        <v>2</v>
      </c>
      <c r="E235" s="112">
        <v>1</v>
      </c>
      <c r="F235" s="112"/>
      <c r="G235" s="112">
        <v>-4</v>
      </c>
      <c r="H235" s="112">
        <f>ROUND(G235*E235*D235,2)</f>
        <v>-8</v>
      </c>
    </row>
    <row r="236" spans="1:8" s="103" customFormat="1">
      <c r="A236" s="42"/>
      <c r="B236" s="104" t="s">
        <v>192</v>
      </c>
      <c r="C236" s="42"/>
      <c r="D236" s="42">
        <v>15</v>
      </c>
      <c r="E236" s="42">
        <v>0.45</v>
      </c>
      <c r="F236" s="42"/>
      <c r="G236" s="42">
        <v>4</v>
      </c>
      <c r="H236" s="42">
        <f>ROUND(G236*E236*D236,2)</f>
        <v>27</v>
      </c>
    </row>
    <row r="237" spans="1:8" s="103" customFormat="1">
      <c r="A237" s="76"/>
      <c r="B237" s="104"/>
      <c r="C237" s="42"/>
      <c r="D237" s="42">
        <v>15</v>
      </c>
      <c r="E237" s="42">
        <v>0.9</v>
      </c>
      <c r="F237" s="42"/>
      <c r="G237" s="42">
        <v>2</v>
      </c>
      <c r="H237" s="42">
        <f>ROUND(G237*E237*D237,2)</f>
        <v>27</v>
      </c>
    </row>
    <row r="238" spans="1:8" s="103" customFormat="1">
      <c r="A238" s="76"/>
      <c r="B238" s="104" t="s">
        <v>190</v>
      </c>
      <c r="C238" s="42"/>
      <c r="D238" s="42">
        <v>0.55000000000000004</v>
      </c>
      <c r="E238" s="42">
        <v>0.45</v>
      </c>
      <c r="F238" s="42"/>
      <c r="G238" s="42">
        <v>4</v>
      </c>
      <c r="H238" s="42">
        <f>ROUND(G238*E238*D238,2)</f>
        <v>0.99</v>
      </c>
    </row>
    <row r="239" spans="1:8" s="103" customFormat="1">
      <c r="A239" s="76"/>
      <c r="B239" s="104"/>
      <c r="C239" s="42"/>
      <c r="D239" s="42">
        <v>0.55000000000000004</v>
      </c>
      <c r="E239" s="42">
        <v>0.9</v>
      </c>
      <c r="F239" s="42"/>
      <c r="G239" s="42">
        <v>4</v>
      </c>
      <c r="H239" s="42">
        <f>ROUND(G239*E239*D239,2)</f>
        <v>1.98</v>
      </c>
    </row>
    <row r="240" spans="1:8" s="103" customFormat="1">
      <c r="A240" s="76"/>
      <c r="B240" s="110"/>
      <c r="C240" s="107"/>
      <c r="D240" s="42"/>
      <c r="E240" s="42"/>
      <c r="F240" s="42"/>
      <c r="G240" s="105" t="s">
        <v>162</v>
      </c>
      <c r="H240" s="105">
        <f>SUM(H228:H239)</f>
        <v>392.57</v>
      </c>
    </row>
    <row r="241" spans="1:8" s="103" customFormat="1">
      <c r="A241" s="76"/>
      <c r="B241" s="110"/>
      <c r="C241" s="107"/>
      <c r="D241" s="42"/>
      <c r="E241" s="42"/>
      <c r="F241" s="42"/>
      <c r="G241" s="42"/>
      <c r="H241" s="42"/>
    </row>
    <row r="242" spans="1:8" s="103" customFormat="1" ht="27.6">
      <c r="A242" s="33" t="s">
        <v>124</v>
      </c>
      <c r="B242" s="35" t="s">
        <v>126</v>
      </c>
      <c r="C242" s="34" t="s">
        <v>21</v>
      </c>
      <c r="D242" s="42"/>
      <c r="E242" s="42"/>
      <c r="F242" s="42"/>
      <c r="G242" s="42"/>
      <c r="H242" s="42"/>
    </row>
    <row r="243" spans="1:8" s="103" customFormat="1">
      <c r="A243" s="33"/>
      <c r="B243" s="110" t="s">
        <v>436</v>
      </c>
      <c r="C243" s="40"/>
      <c r="D243" s="42">
        <v>26.6</v>
      </c>
      <c r="E243" s="42">
        <f>(0.2+0.5)/2</f>
        <v>0.35</v>
      </c>
      <c r="F243" s="42"/>
      <c r="G243" s="42">
        <v>1</v>
      </c>
      <c r="H243" s="42">
        <f t="shared" ref="H243:H246" si="14">ROUND(G243*E243*D243,2)</f>
        <v>9.31</v>
      </c>
    </row>
    <row r="244" spans="1:8" s="103" customFormat="1">
      <c r="A244" s="33"/>
      <c r="B244" s="35"/>
      <c r="C244" s="40"/>
      <c r="D244" s="42">
        <v>38</v>
      </c>
      <c r="E244" s="42">
        <f>(0.2+0.8)/2</f>
        <v>0.5</v>
      </c>
      <c r="F244" s="42"/>
      <c r="G244" s="42">
        <v>1</v>
      </c>
      <c r="H244" s="42">
        <f t="shared" si="14"/>
        <v>19</v>
      </c>
    </row>
    <row r="245" spans="1:8" s="103" customFormat="1">
      <c r="A245" s="33"/>
      <c r="B245" s="110" t="s">
        <v>437</v>
      </c>
      <c r="C245" s="40"/>
      <c r="D245" s="42">
        <v>26.6</v>
      </c>
      <c r="E245" s="42">
        <f>(0.8+1.7)/2</f>
        <v>1.25</v>
      </c>
      <c r="F245" s="42"/>
      <c r="G245" s="42">
        <v>1</v>
      </c>
      <c r="H245" s="42">
        <f t="shared" si="14"/>
        <v>33.25</v>
      </c>
    </row>
    <row r="246" spans="1:8" s="103" customFormat="1">
      <c r="A246" s="33"/>
      <c r="B246" s="35"/>
      <c r="C246" s="40"/>
      <c r="D246" s="42">
        <v>38</v>
      </c>
      <c r="E246" s="42">
        <f>(0.5+1.7)/2</f>
        <v>1.1000000000000001</v>
      </c>
      <c r="F246" s="42"/>
      <c r="G246" s="42">
        <v>1</v>
      </c>
      <c r="H246" s="42">
        <f t="shared" si="14"/>
        <v>41.8</v>
      </c>
    </row>
    <row r="247" spans="1:8" s="103" customFormat="1">
      <c r="A247" s="76"/>
      <c r="B247" s="110" t="s">
        <v>184</v>
      </c>
      <c r="C247" s="107"/>
      <c r="D247" s="42">
        <v>34</v>
      </c>
      <c r="E247" s="42">
        <v>1</v>
      </c>
      <c r="F247" s="42"/>
      <c r="G247" s="42">
        <v>4</v>
      </c>
      <c r="H247" s="42">
        <f>ROUND(G247*E247*D247,2)</f>
        <v>136</v>
      </c>
    </row>
    <row r="248" spans="1:8" s="103" customFormat="1">
      <c r="A248" s="76"/>
      <c r="B248" s="104" t="s">
        <v>185</v>
      </c>
      <c r="C248" s="42"/>
      <c r="D248" s="42">
        <v>20.6</v>
      </c>
      <c r="E248" s="42">
        <v>1</v>
      </c>
      <c r="F248" s="42"/>
      <c r="G248" s="42">
        <v>4</v>
      </c>
      <c r="H248" s="42">
        <f>ROUND(G248*E248*D248,2)</f>
        <v>82.4</v>
      </c>
    </row>
    <row r="249" spans="1:8" s="103" customFormat="1">
      <c r="A249" s="76"/>
      <c r="B249" s="104" t="s">
        <v>193</v>
      </c>
      <c r="C249" s="42"/>
      <c r="D249" s="42">
        <f>34+34+20.6+20.6</f>
        <v>109.19999999999999</v>
      </c>
      <c r="E249" s="42"/>
      <c r="F249" s="42">
        <v>0.2</v>
      </c>
      <c r="G249" s="42">
        <v>1</v>
      </c>
      <c r="H249" s="42">
        <f>ROUND(G249*F249*D249,2)</f>
        <v>21.84</v>
      </c>
    </row>
    <row r="250" spans="1:8" s="103" customFormat="1">
      <c r="A250" s="76"/>
      <c r="B250" s="113" t="s">
        <v>191</v>
      </c>
      <c r="C250" s="114"/>
      <c r="D250" s="112">
        <v>2</v>
      </c>
      <c r="E250" s="112">
        <v>1</v>
      </c>
      <c r="F250" s="112"/>
      <c r="G250" s="112">
        <v>-4</v>
      </c>
      <c r="H250" s="112">
        <f>ROUND(G250*E250*D250,2)</f>
        <v>-8</v>
      </c>
    </row>
    <row r="251" spans="1:8" s="103" customFormat="1">
      <c r="A251" s="76"/>
      <c r="B251" s="104" t="s">
        <v>192</v>
      </c>
      <c r="C251" s="42"/>
      <c r="D251" s="42">
        <v>15</v>
      </c>
      <c r="E251" s="42">
        <v>0.45</v>
      </c>
      <c r="F251" s="42"/>
      <c r="G251" s="42">
        <v>4</v>
      </c>
      <c r="H251" s="42">
        <f>ROUND(G251*E251*D251,2)</f>
        <v>27</v>
      </c>
    </row>
    <row r="252" spans="1:8" s="103" customFormat="1">
      <c r="A252" s="76"/>
      <c r="B252" s="104"/>
      <c r="C252" s="42"/>
      <c r="D252" s="42">
        <v>15</v>
      </c>
      <c r="E252" s="42">
        <v>0.9</v>
      </c>
      <c r="F252" s="42"/>
      <c r="G252" s="42">
        <v>2</v>
      </c>
      <c r="H252" s="42">
        <f>ROUND(G252*E252*D252,2)</f>
        <v>27</v>
      </c>
    </row>
    <row r="253" spans="1:8" s="103" customFormat="1">
      <c r="A253" s="76"/>
      <c r="B253" s="104" t="s">
        <v>190</v>
      </c>
      <c r="C253" s="42"/>
      <c r="D253" s="42">
        <v>0.55000000000000004</v>
      </c>
      <c r="E253" s="42">
        <v>0.45</v>
      </c>
      <c r="F253" s="42"/>
      <c r="G253" s="42">
        <v>4</v>
      </c>
      <c r="H253" s="42">
        <f>ROUND(G253*E253*D253,2)</f>
        <v>0.99</v>
      </c>
    </row>
    <row r="254" spans="1:8" s="103" customFormat="1">
      <c r="A254" s="76"/>
      <c r="B254" s="104"/>
      <c r="C254" s="42"/>
      <c r="D254" s="42">
        <v>0.55000000000000004</v>
      </c>
      <c r="E254" s="42">
        <v>0.9</v>
      </c>
      <c r="F254" s="42"/>
      <c r="G254" s="42">
        <v>4</v>
      </c>
      <c r="H254" s="42">
        <f>ROUND(G254*E254*D254,2)</f>
        <v>1.98</v>
      </c>
    </row>
    <row r="255" spans="1:8" s="103" customFormat="1">
      <c r="A255" s="76"/>
      <c r="B255" s="110"/>
      <c r="C255" s="107"/>
      <c r="D255" s="42"/>
      <c r="E255" s="42"/>
      <c r="F255" s="42"/>
      <c r="G255" s="105" t="s">
        <v>162</v>
      </c>
      <c r="H255" s="105">
        <f>SUM(H243:H254)</f>
        <v>392.57</v>
      </c>
    </row>
    <row r="256" spans="1:8" s="103" customFormat="1">
      <c r="A256" s="34"/>
      <c r="B256" s="104"/>
      <c r="C256" s="42"/>
      <c r="D256" s="42"/>
      <c r="E256" s="42"/>
      <c r="F256" s="42"/>
      <c r="G256" s="42"/>
      <c r="H256" s="42"/>
    </row>
    <row r="257" spans="1:8" s="103" customFormat="1" ht="27.6">
      <c r="A257" s="33" t="s">
        <v>127</v>
      </c>
      <c r="B257" s="35" t="s">
        <v>129</v>
      </c>
      <c r="C257" s="40" t="s">
        <v>21</v>
      </c>
      <c r="D257" s="42"/>
      <c r="E257" s="42"/>
      <c r="F257" s="42"/>
      <c r="G257" s="42"/>
      <c r="H257" s="42"/>
    </row>
    <row r="258" spans="1:8" s="103" customFormat="1">
      <c r="A258" s="34"/>
      <c r="B258" s="104" t="s">
        <v>194</v>
      </c>
      <c r="C258" s="42"/>
      <c r="D258" s="42">
        <v>33.700000000000003</v>
      </c>
      <c r="E258" s="42"/>
      <c r="F258" s="42">
        <v>20.3</v>
      </c>
      <c r="G258" s="42"/>
      <c r="H258" s="42">
        <f>ROUND(F258*D258,2)</f>
        <v>684.11</v>
      </c>
    </row>
    <row r="259" spans="1:8" s="103" customFormat="1">
      <c r="A259" s="34"/>
      <c r="B259" s="104"/>
      <c r="C259" s="42"/>
      <c r="D259" s="42"/>
      <c r="E259" s="42"/>
      <c r="F259" s="42"/>
      <c r="G259" s="105" t="s">
        <v>162</v>
      </c>
      <c r="H259" s="105">
        <f>H258</f>
        <v>684.11</v>
      </c>
    </row>
    <row r="260" spans="1:8" s="103" customFormat="1">
      <c r="A260" s="34"/>
      <c r="B260" s="104"/>
      <c r="C260" s="42"/>
      <c r="D260" s="42"/>
      <c r="E260" s="42"/>
      <c r="F260" s="42"/>
      <c r="G260" s="42"/>
      <c r="H260" s="42"/>
    </row>
    <row r="261" spans="1:8" s="103" customFormat="1" ht="27.6">
      <c r="A261" s="33" t="s">
        <v>130</v>
      </c>
      <c r="B261" s="35" t="s">
        <v>132</v>
      </c>
      <c r="C261" s="40" t="s">
        <v>28</v>
      </c>
      <c r="D261" s="42"/>
      <c r="E261" s="42"/>
      <c r="F261" s="42"/>
      <c r="G261" s="42"/>
      <c r="H261" s="42"/>
    </row>
    <row r="262" spans="1:8" s="103" customFormat="1">
      <c r="A262" s="42"/>
      <c r="B262" s="117" t="s">
        <v>215</v>
      </c>
      <c r="C262" s="118"/>
      <c r="D262" s="119">
        <v>32</v>
      </c>
      <c r="E262" s="119"/>
      <c r="F262" s="119"/>
      <c r="G262" s="119">
        <v>2</v>
      </c>
      <c r="H262" s="119">
        <f>D262*G262</f>
        <v>64</v>
      </c>
    </row>
    <row r="263" spans="1:8" s="103" customFormat="1">
      <c r="A263" s="42"/>
      <c r="B263" s="117" t="s">
        <v>216</v>
      </c>
      <c r="C263" s="118"/>
      <c r="D263" s="119">
        <v>18.600000000000001</v>
      </c>
      <c r="E263" s="119"/>
      <c r="F263" s="119"/>
      <c r="G263" s="119">
        <v>2</v>
      </c>
      <c r="H263" s="119">
        <f t="shared" ref="H263:H274" si="15">D263*G263</f>
        <v>37.200000000000003</v>
      </c>
    </row>
    <row r="264" spans="1:8" s="103" customFormat="1">
      <c r="A264" s="76"/>
      <c r="B264" s="117" t="s">
        <v>217</v>
      </c>
      <c r="C264" s="118"/>
      <c r="D264" s="119">
        <v>18.600000000000001</v>
      </c>
      <c r="E264" s="119"/>
      <c r="F264" s="119"/>
      <c r="G264" s="119">
        <v>1</v>
      </c>
      <c r="H264" s="119">
        <f t="shared" si="15"/>
        <v>18.600000000000001</v>
      </c>
    </row>
    <row r="265" spans="1:8" s="103" customFormat="1">
      <c r="A265" s="34"/>
      <c r="B265" s="117" t="s">
        <v>218</v>
      </c>
      <c r="C265" s="118"/>
      <c r="D265" s="119">
        <v>18</v>
      </c>
      <c r="E265" s="119"/>
      <c r="F265" s="119"/>
      <c r="G265" s="119">
        <v>2</v>
      </c>
      <c r="H265" s="119">
        <f t="shared" si="15"/>
        <v>36</v>
      </c>
    </row>
    <row r="266" spans="1:8" s="103" customFormat="1">
      <c r="A266" s="42"/>
      <c r="B266" s="117" t="s">
        <v>219</v>
      </c>
      <c r="C266" s="118"/>
      <c r="D266" s="119">
        <f>2*3.16*3</f>
        <v>18.96</v>
      </c>
      <c r="E266" s="119"/>
      <c r="F266" s="119"/>
      <c r="G266" s="119">
        <v>1</v>
      </c>
      <c r="H266" s="119">
        <f t="shared" si="15"/>
        <v>18.96</v>
      </c>
    </row>
    <row r="267" spans="1:8" s="103" customFormat="1">
      <c r="A267" s="42"/>
      <c r="B267" s="117" t="s">
        <v>220</v>
      </c>
      <c r="C267" s="118"/>
      <c r="D267" s="119">
        <f>2*3.1416*1.8</f>
        <v>11.309760000000001</v>
      </c>
      <c r="E267" s="119"/>
      <c r="F267" s="119"/>
      <c r="G267" s="119">
        <v>3</v>
      </c>
      <c r="H267" s="119">
        <f t="shared" si="15"/>
        <v>33.929280000000006</v>
      </c>
    </row>
    <row r="268" spans="1:8" s="103" customFormat="1">
      <c r="A268" s="42"/>
      <c r="B268" s="117" t="s">
        <v>221</v>
      </c>
      <c r="C268" s="118"/>
      <c r="D268" s="119">
        <v>1.5</v>
      </c>
      <c r="E268" s="119"/>
      <c r="F268" s="119"/>
      <c r="G268" s="119">
        <v>2</v>
      </c>
      <c r="H268" s="119">
        <f t="shared" si="15"/>
        <v>3</v>
      </c>
    </row>
    <row r="269" spans="1:8" s="103" customFormat="1">
      <c r="A269" s="34"/>
      <c r="B269" s="117" t="s">
        <v>222</v>
      </c>
      <c r="C269" s="118"/>
      <c r="D269" s="119">
        <v>5.7</v>
      </c>
      <c r="E269" s="119"/>
      <c r="F269" s="119"/>
      <c r="G269" s="119">
        <v>4</v>
      </c>
      <c r="H269" s="119">
        <f t="shared" si="15"/>
        <v>22.8</v>
      </c>
    </row>
    <row r="270" spans="1:8" s="103" customFormat="1">
      <c r="A270" s="42"/>
      <c r="B270" s="117" t="s">
        <v>223</v>
      </c>
      <c r="C270" s="118"/>
      <c r="D270" s="119">
        <v>18</v>
      </c>
      <c r="E270" s="119"/>
      <c r="F270" s="119"/>
      <c r="G270" s="119">
        <v>2</v>
      </c>
      <c r="H270" s="119">
        <f t="shared" si="15"/>
        <v>36</v>
      </c>
    </row>
    <row r="271" spans="1:8" s="103" customFormat="1">
      <c r="A271" s="42"/>
      <c r="B271" s="117" t="s">
        <v>224</v>
      </c>
      <c r="C271" s="118"/>
      <c r="D271" s="119">
        <v>9</v>
      </c>
      <c r="E271" s="119"/>
      <c r="F271" s="119"/>
      <c r="G271" s="119">
        <v>4</v>
      </c>
      <c r="H271" s="119">
        <f t="shared" si="15"/>
        <v>36</v>
      </c>
    </row>
    <row r="272" spans="1:8" s="103" customFormat="1">
      <c r="A272" s="42"/>
      <c r="B272" s="117" t="s">
        <v>225</v>
      </c>
      <c r="C272" s="118"/>
      <c r="D272" s="119">
        <v>0.3</v>
      </c>
      <c r="E272" s="119"/>
      <c r="F272" s="119"/>
      <c r="G272" s="119">
        <v>10</v>
      </c>
      <c r="H272" s="119">
        <f t="shared" si="15"/>
        <v>3</v>
      </c>
    </row>
    <row r="273" spans="1:10" s="103" customFormat="1">
      <c r="A273" s="42"/>
      <c r="B273" s="117" t="s">
        <v>226</v>
      </c>
      <c r="C273" s="118"/>
      <c r="D273" s="119">
        <v>0.4</v>
      </c>
      <c r="E273" s="119"/>
      <c r="F273" s="119"/>
      <c r="G273" s="119">
        <v>8</v>
      </c>
      <c r="H273" s="119">
        <f t="shared" si="15"/>
        <v>3.2</v>
      </c>
    </row>
    <row r="274" spans="1:10" s="103" customFormat="1">
      <c r="A274" s="34"/>
      <c r="B274" s="117" t="s">
        <v>227</v>
      </c>
      <c r="C274" s="118"/>
      <c r="D274" s="119">
        <v>0.6</v>
      </c>
      <c r="E274" s="119"/>
      <c r="F274" s="119"/>
      <c r="G274" s="119">
        <v>4</v>
      </c>
      <c r="H274" s="119">
        <f t="shared" si="15"/>
        <v>2.4</v>
      </c>
    </row>
    <row r="275" spans="1:10" s="103" customFormat="1">
      <c r="A275" s="42"/>
      <c r="B275" s="104"/>
      <c r="C275" s="42"/>
      <c r="D275" s="42"/>
      <c r="E275" s="42"/>
      <c r="F275" s="42"/>
      <c r="G275" s="105" t="s">
        <v>162</v>
      </c>
      <c r="H275" s="105">
        <f>SUM(H262:H274)</f>
        <v>315.08927999999997</v>
      </c>
    </row>
    <row r="276" spans="1:10" s="103" customFormat="1">
      <c r="A276" s="42"/>
      <c r="B276" s="104"/>
      <c r="C276" s="42"/>
      <c r="D276" s="42"/>
      <c r="E276" s="42"/>
      <c r="F276" s="42"/>
      <c r="G276" s="42"/>
      <c r="H276" s="42"/>
    </row>
    <row r="277" spans="1:10" s="103" customFormat="1" ht="41.4">
      <c r="A277" s="33" t="s">
        <v>133</v>
      </c>
      <c r="B277" s="75" t="s">
        <v>135</v>
      </c>
      <c r="C277" s="40" t="s">
        <v>21</v>
      </c>
      <c r="D277" s="42"/>
      <c r="E277" s="42"/>
      <c r="F277" s="42"/>
      <c r="G277" s="42"/>
      <c r="H277" s="42"/>
      <c r="J277" s="103">
        <f>18-0.4-0.8-0.8</f>
        <v>16</v>
      </c>
    </row>
    <row r="278" spans="1:10" s="103" customFormat="1">
      <c r="A278" s="34"/>
      <c r="B278" s="104" t="s">
        <v>195</v>
      </c>
      <c r="C278" s="42"/>
      <c r="D278" s="42">
        <v>34</v>
      </c>
      <c r="E278" s="42">
        <v>1.35</v>
      </c>
      <c r="F278" s="42"/>
      <c r="G278" s="42">
        <v>2</v>
      </c>
      <c r="H278" s="42">
        <f>ROUND(G278*E278*D278,2)</f>
        <v>91.8</v>
      </c>
    </row>
    <row r="279" spans="1:10" s="103" customFormat="1">
      <c r="A279" s="34"/>
      <c r="B279" s="104" t="s">
        <v>196</v>
      </c>
      <c r="C279" s="42"/>
      <c r="D279" s="42">
        <v>2.1</v>
      </c>
      <c r="E279" s="42">
        <v>1.25</v>
      </c>
      <c r="F279" s="42"/>
      <c r="G279" s="42">
        <v>2</v>
      </c>
      <c r="H279" s="42">
        <f>ROUND(G279*E279*D279,2)</f>
        <v>5.25</v>
      </c>
    </row>
    <row r="280" spans="1:10" s="103" customFormat="1">
      <c r="A280" s="34"/>
      <c r="B280" s="104"/>
      <c r="C280" s="42"/>
      <c r="D280" s="42">
        <v>2.75</v>
      </c>
      <c r="E280" s="42">
        <f>(1.25/2)</f>
        <v>0.625</v>
      </c>
      <c r="F280" s="42"/>
      <c r="G280" s="42">
        <v>2</v>
      </c>
      <c r="H280" s="42">
        <f>ROUND(G280*E280*D280,2)</f>
        <v>3.44</v>
      </c>
    </row>
    <row r="281" spans="1:10" s="103" customFormat="1">
      <c r="A281" s="34"/>
      <c r="B281" s="104" t="s">
        <v>197</v>
      </c>
      <c r="C281" s="42"/>
      <c r="D281" s="42">
        <v>20.55</v>
      </c>
      <c r="E281" s="42">
        <v>2.6</v>
      </c>
      <c r="F281" s="42"/>
      <c r="G281" s="42">
        <v>2</v>
      </c>
      <c r="H281" s="42">
        <f>ROUND(G281*E281*D281,2)</f>
        <v>106.86</v>
      </c>
    </row>
    <row r="282" spans="1:10" s="103" customFormat="1">
      <c r="A282" s="42"/>
      <c r="B282" s="110" t="s">
        <v>198</v>
      </c>
      <c r="C282" s="107"/>
      <c r="D282" s="42">
        <v>2</v>
      </c>
      <c r="E282" s="42">
        <v>1</v>
      </c>
      <c r="F282" s="42"/>
      <c r="G282" s="42">
        <v>2</v>
      </c>
      <c r="H282" s="42">
        <f>ROUND(G282*E282*D282,2)</f>
        <v>4</v>
      </c>
    </row>
    <row r="283" spans="1:10" s="103" customFormat="1">
      <c r="A283" s="42"/>
      <c r="B283" s="110" t="s">
        <v>228</v>
      </c>
      <c r="C283" s="107">
        <f>SUM(H278:H282)</f>
        <v>211.35</v>
      </c>
      <c r="D283" s="42"/>
      <c r="E283" s="42"/>
      <c r="F283" s="42"/>
      <c r="G283" s="42">
        <f>0.2</f>
        <v>0.2</v>
      </c>
      <c r="H283" s="42">
        <f>ROUND(G283*C283,2)</f>
        <v>42.27</v>
      </c>
    </row>
    <row r="284" spans="1:10" s="103" customFormat="1">
      <c r="A284" s="42"/>
      <c r="B284" s="110" t="s">
        <v>229</v>
      </c>
      <c r="C284" s="107">
        <f>H283</f>
        <v>42.27</v>
      </c>
      <c r="D284" s="42"/>
      <c r="E284" s="42"/>
      <c r="F284" s="42"/>
      <c r="G284" s="42">
        <v>2</v>
      </c>
      <c r="H284" s="42">
        <f>ROUND(G284*C284,2)</f>
        <v>84.54</v>
      </c>
    </row>
    <row r="285" spans="1:10" s="103" customFormat="1">
      <c r="A285" s="42"/>
      <c r="B285" s="104"/>
      <c r="C285" s="42"/>
      <c r="D285" s="42"/>
      <c r="E285" s="42"/>
      <c r="F285" s="42"/>
      <c r="G285" s="105" t="s">
        <v>162</v>
      </c>
      <c r="H285" s="105">
        <f>H284</f>
        <v>84.54</v>
      </c>
    </row>
    <row r="286" spans="1:10" s="103" customFormat="1">
      <c r="A286" s="34"/>
      <c r="B286" s="110"/>
      <c r="C286" s="107"/>
      <c r="D286" s="42"/>
      <c r="E286" s="42"/>
      <c r="F286" s="42"/>
      <c r="G286" s="42"/>
      <c r="H286" s="42"/>
    </row>
    <row r="287" spans="1:10" s="103" customFormat="1">
      <c r="A287" s="108" t="s">
        <v>137</v>
      </c>
      <c r="B287" s="109" t="s">
        <v>138</v>
      </c>
      <c r="C287" s="43"/>
      <c r="D287" s="42"/>
      <c r="E287" s="42"/>
      <c r="F287" s="42"/>
      <c r="G287" s="42"/>
      <c r="H287" s="42"/>
    </row>
    <row r="288" spans="1:10" s="103" customFormat="1" ht="41.4">
      <c r="A288" s="33" t="s">
        <v>139</v>
      </c>
      <c r="B288" s="75" t="s">
        <v>141</v>
      </c>
      <c r="C288" s="40" t="s">
        <v>89</v>
      </c>
      <c r="D288" s="42"/>
      <c r="E288" s="42"/>
      <c r="F288" s="42"/>
      <c r="G288" s="42"/>
      <c r="H288" s="42"/>
    </row>
    <row r="289" spans="1:8" s="103" customFormat="1">
      <c r="A289" s="34"/>
      <c r="B289" s="104" t="s">
        <v>230</v>
      </c>
      <c r="C289" s="42"/>
      <c r="D289" s="42"/>
      <c r="E289" s="42"/>
      <c r="F289" s="42"/>
      <c r="G289" s="42"/>
      <c r="H289" s="42">
        <v>1</v>
      </c>
    </row>
    <row r="290" spans="1:8" s="103" customFormat="1">
      <c r="A290" s="34"/>
      <c r="B290" s="104"/>
      <c r="C290" s="42"/>
      <c r="D290" s="42"/>
      <c r="E290" s="42"/>
      <c r="F290" s="42"/>
      <c r="G290" s="105" t="s">
        <v>162</v>
      </c>
      <c r="H290" s="105">
        <f>H289</f>
        <v>1</v>
      </c>
    </row>
    <row r="291" spans="1:8" s="103" customFormat="1">
      <c r="A291" s="34"/>
      <c r="B291" s="104"/>
      <c r="C291" s="42"/>
      <c r="D291" s="42"/>
      <c r="E291" s="42"/>
      <c r="F291" s="42"/>
      <c r="G291" s="42"/>
      <c r="H291" s="42"/>
    </row>
    <row r="292" spans="1:8" s="103" customFormat="1" ht="41.4">
      <c r="A292" s="33" t="s">
        <v>142</v>
      </c>
      <c r="B292" s="35" t="s">
        <v>144</v>
      </c>
      <c r="C292" s="40" t="s">
        <v>89</v>
      </c>
      <c r="D292" s="42"/>
      <c r="E292" s="42"/>
      <c r="F292" s="42"/>
      <c r="G292" s="42"/>
      <c r="H292" s="42"/>
    </row>
    <row r="293" spans="1:8" s="103" customFormat="1">
      <c r="A293" s="34"/>
      <c r="B293" s="104" t="s">
        <v>231</v>
      </c>
      <c r="C293" s="42"/>
      <c r="D293" s="42"/>
      <c r="E293" s="42"/>
      <c r="F293" s="42"/>
      <c r="G293" s="42"/>
      <c r="H293" s="42">
        <v>1</v>
      </c>
    </row>
    <row r="294" spans="1:8" s="103" customFormat="1">
      <c r="A294" s="34"/>
      <c r="B294" s="104"/>
      <c r="C294" s="42"/>
      <c r="D294" s="42"/>
      <c r="E294" s="42"/>
      <c r="F294" s="42"/>
      <c r="G294" s="105" t="s">
        <v>162</v>
      </c>
      <c r="H294" s="105">
        <f>H293</f>
        <v>1</v>
      </c>
    </row>
    <row r="295" spans="1:8" s="103" customFormat="1">
      <c r="A295" s="34"/>
      <c r="B295" s="104"/>
      <c r="C295" s="42"/>
      <c r="D295" s="42"/>
      <c r="E295" s="42"/>
      <c r="F295" s="42"/>
      <c r="G295" s="42"/>
      <c r="H295" s="42"/>
    </row>
    <row r="296" spans="1:8" s="103" customFormat="1" ht="41.4">
      <c r="A296" s="33" t="s">
        <v>145</v>
      </c>
      <c r="B296" s="75" t="s">
        <v>147</v>
      </c>
      <c r="C296" s="40" t="s">
        <v>89</v>
      </c>
      <c r="D296" s="42"/>
      <c r="E296" s="42"/>
      <c r="F296" s="42"/>
      <c r="G296" s="42"/>
      <c r="H296" s="42"/>
    </row>
    <row r="297" spans="1:8" s="103" customFormat="1">
      <c r="A297" s="42"/>
      <c r="B297" s="104" t="s">
        <v>232</v>
      </c>
      <c r="C297" s="42"/>
      <c r="D297" s="42"/>
      <c r="E297" s="42"/>
      <c r="F297" s="42"/>
      <c r="G297" s="42"/>
      <c r="H297" s="42">
        <v>1</v>
      </c>
    </row>
    <row r="298" spans="1:8" s="103" customFormat="1">
      <c r="A298" s="42"/>
      <c r="B298" s="104"/>
      <c r="C298" s="42"/>
      <c r="D298" s="42"/>
      <c r="E298" s="42"/>
      <c r="F298" s="42"/>
      <c r="G298" s="105" t="s">
        <v>162</v>
      </c>
      <c r="H298" s="105">
        <f>H297</f>
        <v>1</v>
      </c>
    </row>
    <row r="299" spans="1:8" s="103" customFormat="1">
      <c r="A299" s="42"/>
      <c r="B299" s="104"/>
      <c r="C299" s="42"/>
      <c r="D299" s="42"/>
      <c r="E299" s="42"/>
      <c r="F299" s="42"/>
      <c r="G299" s="42"/>
      <c r="H299" s="42"/>
    </row>
  </sheetData>
  <mergeCells count="6">
    <mergeCell ref="A6:H6"/>
    <mergeCell ref="A1:H1"/>
    <mergeCell ref="A2:H2"/>
    <mergeCell ref="A3:H3"/>
    <mergeCell ref="A4:H4"/>
    <mergeCell ref="A5:H5"/>
  </mergeCells>
  <phoneticPr fontId="13" type="noConversion"/>
  <pageMargins left="0.511811024" right="0.511811024" top="0.78740157499999996" bottom="0.78740157499999996" header="0.31496062000000002" footer="0.31496062000000002"/>
  <pageSetup paperSize="9" scale="6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3176B-4816-4370-B140-E9A706C803DC}">
  <dimension ref="A1:J143"/>
  <sheetViews>
    <sheetView view="pageBreakPreview" topLeftCell="A122" zoomScaleNormal="100" zoomScaleSheetLayoutView="100" workbookViewId="0">
      <selection activeCell="A135" sqref="A135:G135"/>
    </sheetView>
  </sheetViews>
  <sheetFormatPr defaultColWidth="9.109375" defaultRowHeight="13.8"/>
  <cols>
    <col min="1" max="1" width="9.33203125" style="13" bestFit="1" customWidth="1"/>
    <col min="2" max="2" width="11.88671875" style="13" customWidth="1"/>
    <col min="3" max="3" width="60.5546875" style="13" customWidth="1"/>
    <col min="4" max="5" width="9.109375" style="13"/>
    <col min="6" max="6" width="9.33203125" style="13" bestFit="1" customWidth="1"/>
    <col min="7" max="7" width="10.109375" style="13" bestFit="1" customWidth="1"/>
    <col min="8" max="8" width="9.5546875" style="13" bestFit="1" customWidth="1"/>
    <col min="9" max="256" width="9.109375" style="13"/>
    <col min="257" max="257" width="9.33203125" style="13" bestFit="1" customWidth="1"/>
    <col min="258" max="258" width="11.88671875" style="13" customWidth="1"/>
    <col min="259" max="259" width="60.5546875" style="13" customWidth="1"/>
    <col min="260" max="261" width="9.109375" style="13"/>
    <col min="262" max="262" width="9.33203125" style="13" bestFit="1" customWidth="1"/>
    <col min="263" max="263" width="10.109375" style="13" bestFit="1" customWidth="1"/>
    <col min="264" max="264" width="9.5546875" style="13" bestFit="1" customWidth="1"/>
    <col min="265" max="512" width="9.109375" style="13"/>
    <col min="513" max="513" width="9.33203125" style="13" bestFit="1" customWidth="1"/>
    <col min="514" max="514" width="11.88671875" style="13" customWidth="1"/>
    <col min="515" max="515" width="60.5546875" style="13" customWidth="1"/>
    <col min="516" max="517" width="9.109375" style="13"/>
    <col min="518" max="518" width="9.33203125" style="13" bestFit="1" customWidth="1"/>
    <col min="519" max="519" width="10.109375" style="13" bestFit="1" customWidth="1"/>
    <col min="520" max="520" width="9.5546875" style="13" bestFit="1" customWidth="1"/>
    <col min="521" max="768" width="9.109375" style="13"/>
    <col min="769" max="769" width="9.33203125" style="13" bestFit="1" customWidth="1"/>
    <col min="770" max="770" width="11.88671875" style="13" customWidth="1"/>
    <col min="771" max="771" width="60.5546875" style="13" customWidth="1"/>
    <col min="772" max="773" width="9.109375" style="13"/>
    <col min="774" max="774" width="9.33203125" style="13" bestFit="1" customWidth="1"/>
    <col min="775" max="775" width="10.109375" style="13" bestFit="1" customWidth="1"/>
    <col min="776" max="776" width="9.5546875" style="13" bestFit="1" customWidth="1"/>
    <col min="777" max="1024" width="9.109375" style="13"/>
    <col min="1025" max="1025" width="9.33203125" style="13" bestFit="1" customWidth="1"/>
    <col min="1026" max="1026" width="11.88671875" style="13" customWidth="1"/>
    <col min="1027" max="1027" width="60.5546875" style="13" customWidth="1"/>
    <col min="1028" max="1029" width="9.109375" style="13"/>
    <col min="1030" max="1030" width="9.33203125" style="13" bestFit="1" customWidth="1"/>
    <col min="1031" max="1031" width="10.109375" style="13" bestFit="1" customWidth="1"/>
    <col min="1032" max="1032" width="9.5546875" style="13" bestFit="1" customWidth="1"/>
    <col min="1033" max="1280" width="9.109375" style="13"/>
    <col min="1281" max="1281" width="9.33203125" style="13" bestFit="1" customWidth="1"/>
    <col min="1282" max="1282" width="11.88671875" style="13" customWidth="1"/>
    <col min="1283" max="1283" width="60.5546875" style="13" customWidth="1"/>
    <col min="1284" max="1285" width="9.109375" style="13"/>
    <col min="1286" max="1286" width="9.33203125" style="13" bestFit="1" customWidth="1"/>
    <col min="1287" max="1287" width="10.109375" style="13" bestFit="1" customWidth="1"/>
    <col min="1288" max="1288" width="9.5546875" style="13" bestFit="1" customWidth="1"/>
    <col min="1289" max="1536" width="9.109375" style="13"/>
    <col min="1537" max="1537" width="9.33203125" style="13" bestFit="1" customWidth="1"/>
    <col min="1538" max="1538" width="11.88671875" style="13" customWidth="1"/>
    <col min="1539" max="1539" width="60.5546875" style="13" customWidth="1"/>
    <col min="1540" max="1541" width="9.109375" style="13"/>
    <col min="1542" max="1542" width="9.33203125" style="13" bestFit="1" customWidth="1"/>
    <col min="1543" max="1543" width="10.109375" style="13" bestFit="1" customWidth="1"/>
    <col min="1544" max="1544" width="9.5546875" style="13" bestFit="1" customWidth="1"/>
    <col min="1545" max="1792" width="9.109375" style="13"/>
    <col min="1793" max="1793" width="9.33203125" style="13" bestFit="1" customWidth="1"/>
    <col min="1794" max="1794" width="11.88671875" style="13" customWidth="1"/>
    <col min="1795" max="1795" width="60.5546875" style="13" customWidth="1"/>
    <col min="1796" max="1797" width="9.109375" style="13"/>
    <col min="1798" max="1798" width="9.33203125" style="13" bestFit="1" customWidth="1"/>
    <col min="1799" max="1799" width="10.109375" style="13" bestFit="1" customWidth="1"/>
    <col min="1800" max="1800" width="9.5546875" style="13" bestFit="1" customWidth="1"/>
    <col min="1801" max="2048" width="9.109375" style="13"/>
    <col min="2049" max="2049" width="9.33203125" style="13" bestFit="1" customWidth="1"/>
    <col min="2050" max="2050" width="11.88671875" style="13" customWidth="1"/>
    <col min="2051" max="2051" width="60.5546875" style="13" customWidth="1"/>
    <col min="2052" max="2053" width="9.109375" style="13"/>
    <col min="2054" max="2054" width="9.33203125" style="13" bestFit="1" customWidth="1"/>
    <col min="2055" max="2055" width="10.109375" style="13" bestFit="1" customWidth="1"/>
    <col min="2056" max="2056" width="9.5546875" style="13" bestFit="1" customWidth="1"/>
    <col min="2057" max="2304" width="9.109375" style="13"/>
    <col min="2305" max="2305" width="9.33203125" style="13" bestFit="1" customWidth="1"/>
    <col min="2306" max="2306" width="11.88671875" style="13" customWidth="1"/>
    <col min="2307" max="2307" width="60.5546875" style="13" customWidth="1"/>
    <col min="2308" max="2309" width="9.109375" style="13"/>
    <col min="2310" max="2310" width="9.33203125" style="13" bestFit="1" customWidth="1"/>
    <col min="2311" max="2311" width="10.109375" style="13" bestFit="1" customWidth="1"/>
    <col min="2312" max="2312" width="9.5546875" style="13" bestFit="1" customWidth="1"/>
    <col min="2313" max="2560" width="9.109375" style="13"/>
    <col min="2561" max="2561" width="9.33203125" style="13" bestFit="1" customWidth="1"/>
    <col min="2562" max="2562" width="11.88671875" style="13" customWidth="1"/>
    <col min="2563" max="2563" width="60.5546875" style="13" customWidth="1"/>
    <col min="2564" max="2565" width="9.109375" style="13"/>
    <col min="2566" max="2566" width="9.33203125" style="13" bestFit="1" customWidth="1"/>
    <col min="2567" max="2567" width="10.109375" style="13" bestFit="1" customWidth="1"/>
    <col min="2568" max="2568" width="9.5546875" style="13" bestFit="1" customWidth="1"/>
    <col min="2569" max="2816" width="9.109375" style="13"/>
    <col min="2817" max="2817" width="9.33203125" style="13" bestFit="1" customWidth="1"/>
    <col min="2818" max="2818" width="11.88671875" style="13" customWidth="1"/>
    <col min="2819" max="2819" width="60.5546875" style="13" customWidth="1"/>
    <col min="2820" max="2821" width="9.109375" style="13"/>
    <col min="2822" max="2822" width="9.33203125" style="13" bestFit="1" customWidth="1"/>
    <col min="2823" max="2823" width="10.109375" style="13" bestFit="1" customWidth="1"/>
    <col min="2824" max="2824" width="9.5546875" style="13" bestFit="1" customWidth="1"/>
    <col min="2825" max="3072" width="9.109375" style="13"/>
    <col min="3073" max="3073" width="9.33203125" style="13" bestFit="1" customWidth="1"/>
    <col min="3074" max="3074" width="11.88671875" style="13" customWidth="1"/>
    <col min="3075" max="3075" width="60.5546875" style="13" customWidth="1"/>
    <col min="3076" max="3077" width="9.109375" style="13"/>
    <col min="3078" max="3078" width="9.33203125" style="13" bestFit="1" customWidth="1"/>
    <col min="3079" max="3079" width="10.109375" style="13" bestFit="1" customWidth="1"/>
    <col min="3080" max="3080" width="9.5546875" style="13" bestFit="1" customWidth="1"/>
    <col min="3081" max="3328" width="9.109375" style="13"/>
    <col min="3329" max="3329" width="9.33203125" style="13" bestFit="1" customWidth="1"/>
    <col min="3330" max="3330" width="11.88671875" style="13" customWidth="1"/>
    <col min="3331" max="3331" width="60.5546875" style="13" customWidth="1"/>
    <col min="3332" max="3333" width="9.109375" style="13"/>
    <col min="3334" max="3334" width="9.33203125" style="13" bestFit="1" customWidth="1"/>
    <col min="3335" max="3335" width="10.109375" style="13" bestFit="1" customWidth="1"/>
    <col min="3336" max="3336" width="9.5546875" style="13" bestFit="1" customWidth="1"/>
    <col min="3337" max="3584" width="9.109375" style="13"/>
    <col min="3585" max="3585" width="9.33203125" style="13" bestFit="1" customWidth="1"/>
    <col min="3586" max="3586" width="11.88671875" style="13" customWidth="1"/>
    <col min="3587" max="3587" width="60.5546875" style="13" customWidth="1"/>
    <col min="3588" max="3589" width="9.109375" style="13"/>
    <col min="3590" max="3590" width="9.33203125" style="13" bestFit="1" customWidth="1"/>
    <col min="3591" max="3591" width="10.109375" style="13" bestFit="1" customWidth="1"/>
    <col min="3592" max="3592" width="9.5546875" style="13" bestFit="1" customWidth="1"/>
    <col min="3593" max="3840" width="9.109375" style="13"/>
    <col min="3841" max="3841" width="9.33203125" style="13" bestFit="1" customWidth="1"/>
    <col min="3842" max="3842" width="11.88671875" style="13" customWidth="1"/>
    <col min="3843" max="3843" width="60.5546875" style="13" customWidth="1"/>
    <col min="3844" max="3845" width="9.109375" style="13"/>
    <col min="3846" max="3846" width="9.33203125" style="13" bestFit="1" customWidth="1"/>
    <col min="3847" max="3847" width="10.109375" style="13" bestFit="1" customWidth="1"/>
    <col min="3848" max="3848" width="9.5546875" style="13" bestFit="1" customWidth="1"/>
    <col min="3849" max="4096" width="9.109375" style="13"/>
    <col min="4097" max="4097" width="9.33203125" style="13" bestFit="1" customWidth="1"/>
    <col min="4098" max="4098" width="11.88671875" style="13" customWidth="1"/>
    <col min="4099" max="4099" width="60.5546875" style="13" customWidth="1"/>
    <col min="4100" max="4101" width="9.109375" style="13"/>
    <col min="4102" max="4102" width="9.33203125" style="13" bestFit="1" customWidth="1"/>
    <col min="4103" max="4103" width="10.109375" style="13" bestFit="1" customWidth="1"/>
    <col min="4104" max="4104" width="9.5546875" style="13" bestFit="1" customWidth="1"/>
    <col min="4105" max="4352" width="9.109375" style="13"/>
    <col min="4353" max="4353" width="9.33203125" style="13" bestFit="1" customWidth="1"/>
    <col min="4354" max="4354" width="11.88671875" style="13" customWidth="1"/>
    <col min="4355" max="4355" width="60.5546875" style="13" customWidth="1"/>
    <col min="4356" max="4357" width="9.109375" style="13"/>
    <col min="4358" max="4358" width="9.33203125" style="13" bestFit="1" customWidth="1"/>
    <col min="4359" max="4359" width="10.109375" style="13" bestFit="1" customWidth="1"/>
    <col min="4360" max="4360" width="9.5546875" style="13" bestFit="1" customWidth="1"/>
    <col min="4361" max="4608" width="9.109375" style="13"/>
    <col min="4609" max="4609" width="9.33203125" style="13" bestFit="1" customWidth="1"/>
    <col min="4610" max="4610" width="11.88671875" style="13" customWidth="1"/>
    <col min="4611" max="4611" width="60.5546875" style="13" customWidth="1"/>
    <col min="4612" max="4613" width="9.109375" style="13"/>
    <col min="4614" max="4614" width="9.33203125" style="13" bestFit="1" customWidth="1"/>
    <col min="4615" max="4615" width="10.109375" style="13" bestFit="1" customWidth="1"/>
    <col min="4616" max="4616" width="9.5546875" style="13" bestFit="1" customWidth="1"/>
    <col min="4617" max="4864" width="9.109375" style="13"/>
    <col min="4865" max="4865" width="9.33203125" style="13" bestFit="1" customWidth="1"/>
    <col min="4866" max="4866" width="11.88671875" style="13" customWidth="1"/>
    <col min="4867" max="4867" width="60.5546875" style="13" customWidth="1"/>
    <col min="4868" max="4869" width="9.109375" style="13"/>
    <col min="4870" max="4870" width="9.33203125" style="13" bestFit="1" customWidth="1"/>
    <col min="4871" max="4871" width="10.109375" style="13" bestFit="1" customWidth="1"/>
    <col min="4872" max="4872" width="9.5546875" style="13" bestFit="1" customWidth="1"/>
    <col min="4873" max="5120" width="9.109375" style="13"/>
    <col min="5121" max="5121" width="9.33203125" style="13" bestFit="1" customWidth="1"/>
    <col min="5122" max="5122" width="11.88671875" style="13" customWidth="1"/>
    <col min="5123" max="5123" width="60.5546875" style="13" customWidth="1"/>
    <col min="5124" max="5125" width="9.109375" style="13"/>
    <col min="5126" max="5126" width="9.33203125" style="13" bestFit="1" customWidth="1"/>
    <col min="5127" max="5127" width="10.109375" style="13" bestFit="1" customWidth="1"/>
    <col min="5128" max="5128" width="9.5546875" style="13" bestFit="1" customWidth="1"/>
    <col min="5129" max="5376" width="9.109375" style="13"/>
    <col min="5377" max="5377" width="9.33203125" style="13" bestFit="1" customWidth="1"/>
    <col min="5378" max="5378" width="11.88671875" style="13" customWidth="1"/>
    <col min="5379" max="5379" width="60.5546875" style="13" customWidth="1"/>
    <col min="5380" max="5381" width="9.109375" style="13"/>
    <col min="5382" max="5382" width="9.33203125" style="13" bestFit="1" customWidth="1"/>
    <col min="5383" max="5383" width="10.109375" style="13" bestFit="1" customWidth="1"/>
    <col min="5384" max="5384" width="9.5546875" style="13" bestFit="1" customWidth="1"/>
    <col min="5385" max="5632" width="9.109375" style="13"/>
    <col min="5633" max="5633" width="9.33203125" style="13" bestFit="1" customWidth="1"/>
    <col min="5634" max="5634" width="11.88671875" style="13" customWidth="1"/>
    <col min="5635" max="5635" width="60.5546875" style="13" customWidth="1"/>
    <col min="5636" max="5637" width="9.109375" style="13"/>
    <col min="5638" max="5638" width="9.33203125" style="13" bestFit="1" customWidth="1"/>
    <col min="5639" max="5639" width="10.109375" style="13" bestFit="1" customWidth="1"/>
    <col min="5640" max="5640" width="9.5546875" style="13" bestFit="1" customWidth="1"/>
    <col min="5641" max="5888" width="9.109375" style="13"/>
    <col min="5889" max="5889" width="9.33203125" style="13" bestFit="1" customWidth="1"/>
    <col min="5890" max="5890" width="11.88671875" style="13" customWidth="1"/>
    <col min="5891" max="5891" width="60.5546875" style="13" customWidth="1"/>
    <col min="5892" max="5893" width="9.109375" style="13"/>
    <col min="5894" max="5894" width="9.33203125" style="13" bestFit="1" customWidth="1"/>
    <col min="5895" max="5895" width="10.109375" style="13" bestFit="1" customWidth="1"/>
    <col min="5896" max="5896" width="9.5546875" style="13" bestFit="1" customWidth="1"/>
    <col min="5897" max="6144" width="9.109375" style="13"/>
    <col min="6145" max="6145" width="9.33203125" style="13" bestFit="1" customWidth="1"/>
    <col min="6146" max="6146" width="11.88671875" style="13" customWidth="1"/>
    <col min="6147" max="6147" width="60.5546875" style="13" customWidth="1"/>
    <col min="6148" max="6149" width="9.109375" style="13"/>
    <col min="6150" max="6150" width="9.33203125" style="13" bestFit="1" customWidth="1"/>
    <col min="6151" max="6151" width="10.109375" style="13" bestFit="1" customWidth="1"/>
    <col min="6152" max="6152" width="9.5546875" style="13" bestFit="1" customWidth="1"/>
    <col min="6153" max="6400" width="9.109375" style="13"/>
    <col min="6401" max="6401" width="9.33203125" style="13" bestFit="1" customWidth="1"/>
    <col min="6402" max="6402" width="11.88671875" style="13" customWidth="1"/>
    <col min="6403" max="6403" width="60.5546875" style="13" customWidth="1"/>
    <col min="6404" max="6405" width="9.109375" style="13"/>
    <col min="6406" max="6406" width="9.33203125" style="13" bestFit="1" customWidth="1"/>
    <col min="6407" max="6407" width="10.109375" style="13" bestFit="1" customWidth="1"/>
    <col min="6408" max="6408" width="9.5546875" style="13" bestFit="1" customWidth="1"/>
    <col min="6409" max="6656" width="9.109375" style="13"/>
    <col min="6657" max="6657" width="9.33203125" style="13" bestFit="1" customWidth="1"/>
    <col min="6658" max="6658" width="11.88671875" style="13" customWidth="1"/>
    <col min="6659" max="6659" width="60.5546875" style="13" customWidth="1"/>
    <col min="6660" max="6661" width="9.109375" style="13"/>
    <col min="6662" max="6662" width="9.33203125" style="13" bestFit="1" customWidth="1"/>
    <col min="6663" max="6663" width="10.109375" style="13" bestFit="1" customWidth="1"/>
    <col min="6664" max="6664" width="9.5546875" style="13" bestFit="1" customWidth="1"/>
    <col min="6665" max="6912" width="9.109375" style="13"/>
    <col min="6913" max="6913" width="9.33203125" style="13" bestFit="1" customWidth="1"/>
    <col min="6914" max="6914" width="11.88671875" style="13" customWidth="1"/>
    <col min="6915" max="6915" width="60.5546875" style="13" customWidth="1"/>
    <col min="6916" max="6917" width="9.109375" style="13"/>
    <col min="6918" max="6918" width="9.33203125" style="13" bestFit="1" customWidth="1"/>
    <col min="6919" max="6919" width="10.109375" style="13" bestFit="1" customWidth="1"/>
    <col min="6920" max="6920" width="9.5546875" style="13" bestFit="1" customWidth="1"/>
    <col min="6921" max="7168" width="9.109375" style="13"/>
    <col min="7169" max="7169" width="9.33203125" style="13" bestFit="1" customWidth="1"/>
    <col min="7170" max="7170" width="11.88671875" style="13" customWidth="1"/>
    <col min="7171" max="7171" width="60.5546875" style="13" customWidth="1"/>
    <col min="7172" max="7173" width="9.109375" style="13"/>
    <col min="7174" max="7174" width="9.33203125" style="13" bestFit="1" customWidth="1"/>
    <col min="7175" max="7175" width="10.109375" style="13" bestFit="1" customWidth="1"/>
    <col min="7176" max="7176" width="9.5546875" style="13" bestFit="1" customWidth="1"/>
    <col min="7177" max="7424" width="9.109375" style="13"/>
    <col min="7425" max="7425" width="9.33203125" style="13" bestFit="1" customWidth="1"/>
    <col min="7426" max="7426" width="11.88671875" style="13" customWidth="1"/>
    <col min="7427" max="7427" width="60.5546875" style="13" customWidth="1"/>
    <col min="7428" max="7429" width="9.109375" style="13"/>
    <col min="7430" max="7430" width="9.33203125" style="13" bestFit="1" customWidth="1"/>
    <col min="7431" max="7431" width="10.109375" style="13" bestFit="1" customWidth="1"/>
    <col min="7432" max="7432" width="9.5546875" style="13" bestFit="1" customWidth="1"/>
    <col min="7433" max="7680" width="9.109375" style="13"/>
    <col min="7681" max="7681" width="9.33203125" style="13" bestFit="1" customWidth="1"/>
    <col min="7682" max="7682" width="11.88671875" style="13" customWidth="1"/>
    <col min="7683" max="7683" width="60.5546875" style="13" customWidth="1"/>
    <col min="7684" max="7685" width="9.109375" style="13"/>
    <col min="7686" max="7686" width="9.33203125" style="13" bestFit="1" customWidth="1"/>
    <col min="7687" max="7687" width="10.109375" style="13" bestFit="1" customWidth="1"/>
    <col min="7688" max="7688" width="9.5546875" style="13" bestFit="1" customWidth="1"/>
    <col min="7689" max="7936" width="9.109375" style="13"/>
    <col min="7937" max="7937" width="9.33203125" style="13" bestFit="1" customWidth="1"/>
    <col min="7938" max="7938" width="11.88671875" style="13" customWidth="1"/>
    <col min="7939" max="7939" width="60.5546875" style="13" customWidth="1"/>
    <col min="7940" max="7941" width="9.109375" style="13"/>
    <col min="7942" max="7942" width="9.33203125" style="13" bestFit="1" customWidth="1"/>
    <col min="7943" max="7943" width="10.109375" style="13" bestFit="1" customWidth="1"/>
    <col min="7944" max="7944" width="9.5546875" style="13" bestFit="1" customWidth="1"/>
    <col min="7945" max="8192" width="9.109375" style="13"/>
    <col min="8193" max="8193" width="9.33203125" style="13" bestFit="1" customWidth="1"/>
    <col min="8194" max="8194" width="11.88671875" style="13" customWidth="1"/>
    <col min="8195" max="8195" width="60.5546875" style="13" customWidth="1"/>
    <col min="8196" max="8197" width="9.109375" style="13"/>
    <col min="8198" max="8198" width="9.33203125" style="13" bestFit="1" customWidth="1"/>
    <col min="8199" max="8199" width="10.109375" style="13" bestFit="1" customWidth="1"/>
    <col min="8200" max="8200" width="9.5546875" style="13" bestFit="1" customWidth="1"/>
    <col min="8201" max="8448" width="9.109375" style="13"/>
    <col min="8449" max="8449" width="9.33203125" style="13" bestFit="1" customWidth="1"/>
    <col min="8450" max="8450" width="11.88671875" style="13" customWidth="1"/>
    <col min="8451" max="8451" width="60.5546875" style="13" customWidth="1"/>
    <col min="8452" max="8453" width="9.109375" style="13"/>
    <col min="8454" max="8454" width="9.33203125" style="13" bestFit="1" customWidth="1"/>
    <col min="8455" max="8455" width="10.109375" style="13" bestFit="1" customWidth="1"/>
    <col min="8456" max="8456" width="9.5546875" style="13" bestFit="1" customWidth="1"/>
    <col min="8457" max="8704" width="9.109375" style="13"/>
    <col min="8705" max="8705" width="9.33203125" style="13" bestFit="1" customWidth="1"/>
    <col min="8706" max="8706" width="11.88671875" style="13" customWidth="1"/>
    <col min="8707" max="8707" width="60.5546875" style="13" customWidth="1"/>
    <col min="8708" max="8709" width="9.109375" style="13"/>
    <col min="8710" max="8710" width="9.33203125" style="13" bestFit="1" customWidth="1"/>
    <col min="8711" max="8711" width="10.109375" style="13" bestFit="1" customWidth="1"/>
    <col min="8712" max="8712" width="9.5546875" style="13" bestFit="1" customWidth="1"/>
    <col min="8713" max="8960" width="9.109375" style="13"/>
    <col min="8961" max="8961" width="9.33203125" style="13" bestFit="1" customWidth="1"/>
    <col min="8962" max="8962" width="11.88671875" style="13" customWidth="1"/>
    <col min="8963" max="8963" width="60.5546875" style="13" customWidth="1"/>
    <col min="8964" max="8965" width="9.109375" style="13"/>
    <col min="8966" max="8966" width="9.33203125" style="13" bestFit="1" customWidth="1"/>
    <col min="8967" max="8967" width="10.109375" style="13" bestFit="1" customWidth="1"/>
    <col min="8968" max="8968" width="9.5546875" style="13" bestFit="1" customWidth="1"/>
    <col min="8969" max="9216" width="9.109375" style="13"/>
    <col min="9217" max="9217" width="9.33203125" style="13" bestFit="1" customWidth="1"/>
    <col min="9218" max="9218" width="11.88671875" style="13" customWidth="1"/>
    <col min="9219" max="9219" width="60.5546875" style="13" customWidth="1"/>
    <col min="9220" max="9221" width="9.109375" style="13"/>
    <col min="9222" max="9222" width="9.33203125" style="13" bestFit="1" customWidth="1"/>
    <col min="9223" max="9223" width="10.109375" style="13" bestFit="1" customWidth="1"/>
    <col min="9224" max="9224" width="9.5546875" style="13" bestFit="1" customWidth="1"/>
    <col min="9225" max="9472" width="9.109375" style="13"/>
    <col min="9473" max="9473" width="9.33203125" style="13" bestFit="1" customWidth="1"/>
    <col min="9474" max="9474" width="11.88671875" style="13" customWidth="1"/>
    <col min="9475" max="9475" width="60.5546875" style="13" customWidth="1"/>
    <col min="9476" max="9477" width="9.109375" style="13"/>
    <col min="9478" max="9478" width="9.33203125" style="13" bestFit="1" customWidth="1"/>
    <col min="9479" max="9479" width="10.109375" style="13" bestFit="1" customWidth="1"/>
    <col min="9480" max="9480" width="9.5546875" style="13" bestFit="1" customWidth="1"/>
    <col min="9481" max="9728" width="9.109375" style="13"/>
    <col min="9729" max="9729" width="9.33203125" style="13" bestFit="1" customWidth="1"/>
    <col min="9730" max="9730" width="11.88671875" style="13" customWidth="1"/>
    <col min="9731" max="9731" width="60.5546875" style="13" customWidth="1"/>
    <col min="9732" max="9733" width="9.109375" style="13"/>
    <col min="9734" max="9734" width="9.33203125" style="13" bestFit="1" customWidth="1"/>
    <col min="9735" max="9735" width="10.109375" style="13" bestFit="1" customWidth="1"/>
    <col min="9736" max="9736" width="9.5546875" style="13" bestFit="1" customWidth="1"/>
    <col min="9737" max="9984" width="9.109375" style="13"/>
    <col min="9985" max="9985" width="9.33203125" style="13" bestFit="1" customWidth="1"/>
    <col min="9986" max="9986" width="11.88671875" style="13" customWidth="1"/>
    <col min="9987" max="9987" width="60.5546875" style="13" customWidth="1"/>
    <col min="9988" max="9989" width="9.109375" style="13"/>
    <col min="9990" max="9990" width="9.33203125" style="13" bestFit="1" customWidth="1"/>
    <col min="9991" max="9991" width="10.109375" style="13" bestFit="1" customWidth="1"/>
    <col min="9992" max="9992" width="9.5546875" style="13" bestFit="1" customWidth="1"/>
    <col min="9993" max="10240" width="9.109375" style="13"/>
    <col min="10241" max="10241" width="9.33203125" style="13" bestFit="1" customWidth="1"/>
    <col min="10242" max="10242" width="11.88671875" style="13" customWidth="1"/>
    <col min="10243" max="10243" width="60.5546875" style="13" customWidth="1"/>
    <col min="10244" max="10245" width="9.109375" style="13"/>
    <col min="10246" max="10246" width="9.33203125" style="13" bestFit="1" customWidth="1"/>
    <col min="10247" max="10247" width="10.109375" style="13" bestFit="1" customWidth="1"/>
    <col min="10248" max="10248" width="9.5546875" style="13" bestFit="1" customWidth="1"/>
    <col min="10249" max="10496" width="9.109375" style="13"/>
    <col min="10497" max="10497" width="9.33203125" style="13" bestFit="1" customWidth="1"/>
    <col min="10498" max="10498" width="11.88671875" style="13" customWidth="1"/>
    <col min="10499" max="10499" width="60.5546875" style="13" customWidth="1"/>
    <col min="10500" max="10501" width="9.109375" style="13"/>
    <col min="10502" max="10502" width="9.33203125" style="13" bestFit="1" customWidth="1"/>
    <col min="10503" max="10503" width="10.109375" style="13" bestFit="1" customWidth="1"/>
    <col min="10504" max="10504" width="9.5546875" style="13" bestFit="1" customWidth="1"/>
    <col min="10505" max="10752" width="9.109375" style="13"/>
    <col min="10753" max="10753" width="9.33203125" style="13" bestFit="1" customWidth="1"/>
    <col min="10754" max="10754" width="11.88671875" style="13" customWidth="1"/>
    <col min="10755" max="10755" width="60.5546875" style="13" customWidth="1"/>
    <col min="10756" max="10757" width="9.109375" style="13"/>
    <col min="10758" max="10758" width="9.33203125" style="13" bestFit="1" customWidth="1"/>
    <col min="10759" max="10759" width="10.109375" style="13" bestFit="1" customWidth="1"/>
    <col min="10760" max="10760" width="9.5546875" style="13" bestFit="1" customWidth="1"/>
    <col min="10761" max="11008" width="9.109375" style="13"/>
    <col min="11009" max="11009" width="9.33203125" style="13" bestFit="1" customWidth="1"/>
    <col min="11010" max="11010" width="11.88671875" style="13" customWidth="1"/>
    <col min="11011" max="11011" width="60.5546875" style="13" customWidth="1"/>
    <col min="11012" max="11013" width="9.109375" style="13"/>
    <col min="11014" max="11014" width="9.33203125" style="13" bestFit="1" customWidth="1"/>
    <col min="11015" max="11015" width="10.109375" style="13" bestFit="1" customWidth="1"/>
    <col min="11016" max="11016" width="9.5546875" style="13" bestFit="1" customWidth="1"/>
    <col min="11017" max="11264" width="9.109375" style="13"/>
    <col min="11265" max="11265" width="9.33203125" style="13" bestFit="1" customWidth="1"/>
    <col min="11266" max="11266" width="11.88671875" style="13" customWidth="1"/>
    <col min="11267" max="11267" width="60.5546875" style="13" customWidth="1"/>
    <col min="11268" max="11269" width="9.109375" style="13"/>
    <col min="11270" max="11270" width="9.33203125" style="13" bestFit="1" customWidth="1"/>
    <col min="11271" max="11271" width="10.109375" style="13" bestFit="1" customWidth="1"/>
    <col min="11272" max="11272" width="9.5546875" style="13" bestFit="1" customWidth="1"/>
    <col min="11273" max="11520" width="9.109375" style="13"/>
    <col min="11521" max="11521" width="9.33203125" style="13" bestFit="1" customWidth="1"/>
    <col min="11522" max="11522" width="11.88671875" style="13" customWidth="1"/>
    <col min="11523" max="11523" width="60.5546875" style="13" customWidth="1"/>
    <col min="11524" max="11525" width="9.109375" style="13"/>
    <col min="11526" max="11526" width="9.33203125" style="13" bestFit="1" customWidth="1"/>
    <col min="11527" max="11527" width="10.109375" style="13" bestFit="1" customWidth="1"/>
    <col min="11528" max="11528" width="9.5546875" style="13" bestFit="1" customWidth="1"/>
    <col min="11529" max="11776" width="9.109375" style="13"/>
    <col min="11777" max="11777" width="9.33203125" style="13" bestFit="1" customWidth="1"/>
    <col min="11778" max="11778" width="11.88671875" style="13" customWidth="1"/>
    <col min="11779" max="11779" width="60.5546875" style="13" customWidth="1"/>
    <col min="11780" max="11781" width="9.109375" style="13"/>
    <col min="11782" max="11782" width="9.33203125" style="13" bestFit="1" customWidth="1"/>
    <col min="11783" max="11783" width="10.109375" style="13" bestFit="1" customWidth="1"/>
    <col min="11784" max="11784" width="9.5546875" style="13" bestFit="1" customWidth="1"/>
    <col min="11785" max="12032" width="9.109375" style="13"/>
    <col min="12033" max="12033" width="9.33203125" style="13" bestFit="1" customWidth="1"/>
    <col min="12034" max="12034" width="11.88671875" style="13" customWidth="1"/>
    <col min="12035" max="12035" width="60.5546875" style="13" customWidth="1"/>
    <col min="12036" max="12037" width="9.109375" style="13"/>
    <col min="12038" max="12038" width="9.33203125" style="13" bestFit="1" customWidth="1"/>
    <col min="12039" max="12039" width="10.109375" style="13" bestFit="1" customWidth="1"/>
    <col min="12040" max="12040" width="9.5546875" style="13" bestFit="1" customWidth="1"/>
    <col min="12041" max="12288" width="9.109375" style="13"/>
    <col min="12289" max="12289" width="9.33203125" style="13" bestFit="1" customWidth="1"/>
    <col min="12290" max="12290" width="11.88671875" style="13" customWidth="1"/>
    <col min="12291" max="12291" width="60.5546875" style="13" customWidth="1"/>
    <col min="12292" max="12293" width="9.109375" style="13"/>
    <col min="12294" max="12294" width="9.33203125" style="13" bestFit="1" customWidth="1"/>
    <col min="12295" max="12295" width="10.109375" style="13" bestFit="1" customWidth="1"/>
    <col min="12296" max="12296" width="9.5546875" style="13" bestFit="1" customWidth="1"/>
    <col min="12297" max="12544" width="9.109375" style="13"/>
    <col min="12545" max="12545" width="9.33203125" style="13" bestFit="1" customWidth="1"/>
    <col min="12546" max="12546" width="11.88671875" style="13" customWidth="1"/>
    <col min="12547" max="12547" width="60.5546875" style="13" customWidth="1"/>
    <col min="12548" max="12549" width="9.109375" style="13"/>
    <col min="12550" max="12550" width="9.33203125" style="13" bestFit="1" customWidth="1"/>
    <col min="12551" max="12551" width="10.109375" style="13" bestFit="1" customWidth="1"/>
    <col min="12552" max="12552" width="9.5546875" style="13" bestFit="1" customWidth="1"/>
    <col min="12553" max="12800" width="9.109375" style="13"/>
    <col min="12801" max="12801" width="9.33203125" style="13" bestFit="1" customWidth="1"/>
    <col min="12802" max="12802" width="11.88671875" style="13" customWidth="1"/>
    <col min="12803" max="12803" width="60.5546875" style="13" customWidth="1"/>
    <col min="12804" max="12805" width="9.109375" style="13"/>
    <col min="12806" max="12806" width="9.33203125" style="13" bestFit="1" customWidth="1"/>
    <col min="12807" max="12807" width="10.109375" style="13" bestFit="1" customWidth="1"/>
    <col min="12808" max="12808" width="9.5546875" style="13" bestFit="1" customWidth="1"/>
    <col min="12809" max="13056" width="9.109375" style="13"/>
    <col min="13057" max="13057" width="9.33203125" style="13" bestFit="1" customWidth="1"/>
    <col min="13058" max="13058" width="11.88671875" style="13" customWidth="1"/>
    <col min="13059" max="13059" width="60.5546875" style="13" customWidth="1"/>
    <col min="13060" max="13061" width="9.109375" style="13"/>
    <col min="13062" max="13062" width="9.33203125" style="13" bestFit="1" customWidth="1"/>
    <col min="13063" max="13063" width="10.109375" style="13" bestFit="1" customWidth="1"/>
    <col min="13064" max="13064" width="9.5546875" style="13" bestFit="1" customWidth="1"/>
    <col min="13065" max="13312" width="9.109375" style="13"/>
    <col min="13313" max="13313" width="9.33203125" style="13" bestFit="1" customWidth="1"/>
    <col min="13314" max="13314" width="11.88671875" style="13" customWidth="1"/>
    <col min="13315" max="13315" width="60.5546875" style="13" customWidth="1"/>
    <col min="13316" max="13317" width="9.109375" style="13"/>
    <col min="13318" max="13318" width="9.33203125" style="13" bestFit="1" customWidth="1"/>
    <col min="13319" max="13319" width="10.109375" style="13" bestFit="1" customWidth="1"/>
    <col min="13320" max="13320" width="9.5546875" style="13" bestFit="1" customWidth="1"/>
    <col min="13321" max="13568" width="9.109375" style="13"/>
    <col min="13569" max="13569" width="9.33203125" style="13" bestFit="1" customWidth="1"/>
    <col min="13570" max="13570" width="11.88671875" style="13" customWidth="1"/>
    <col min="13571" max="13571" width="60.5546875" style="13" customWidth="1"/>
    <col min="13572" max="13573" width="9.109375" style="13"/>
    <col min="13574" max="13574" width="9.33203125" style="13" bestFit="1" customWidth="1"/>
    <col min="13575" max="13575" width="10.109375" style="13" bestFit="1" customWidth="1"/>
    <col min="13576" max="13576" width="9.5546875" style="13" bestFit="1" customWidth="1"/>
    <col min="13577" max="13824" width="9.109375" style="13"/>
    <col min="13825" max="13825" width="9.33203125" style="13" bestFit="1" customWidth="1"/>
    <col min="13826" max="13826" width="11.88671875" style="13" customWidth="1"/>
    <col min="13827" max="13827" width="60.5546875" style="13" customWidth="1"/>
    <col min="13828" max="13829" width="9.109375" style="13"/>
    <col min="13830" max="13830" width="9.33203125" style="13" bestFit="1" customWidth="1"/>
    <col min="13831" max="13831" width="10.109375" style="13" bestFit="1" customWidth="1"/>
    <col min="13832" max="13832" width="9.5546875" style="13" bestFit="1" customWidth="1"/>
    <col min="13833" max="14080" width="9.109375" style="13"/>
    <col min="14081" max="14081" width="9.33203125" style="13" bestFit="1" customWidth="1"/>
    <col min="14082" max="14082" width="11.88671875" style="13" customWidth="1"/>
    <col min="14083" max="14083" width="60.5546875" style="13" customWidth="1"/>
    <col min="14084" max="14085" width="9.109375" style="13"/>
    <col min="14086" max="14086" width="9.33203125" style="13" bestFit="1" customWidth="1"/>
    <col min="14087" max="14087" width="10.109375" style="13" bestFit="1" customWidth="1"/>
    <col min="14088" max="14088" width="9.5546875" style="13" bestFit="1" customWidth="1"/>
    <col min="14089" max="14336" width="9.109375" style="13"/>
    <col min="14337" max="14337" width="9.33203125" style="13" bestFit="1" customWidth="1"/>
    <col min="14338" max="14338" width="11.88671875" style="13" customWidth="1"/>
    <col min="14339" max="14339" width="60.5546875" style="13" customWidth="1"/>
    <col min="14340" max="14341" width="9.109375" style="13"/>
    <col min="14342" max="14342" width="9.33203125" style="13" bestFit="1" customWidth="1"/>
    <col min="14343" max="14343" width="10.109375" style="13" bestFit="1" customWidth="1"/>
    <col min="14344" max="14344" width="9.5546875" style="13" bestFit="1" customWidth="1"/>
    <col min="14345" max="14592" width="9.109375" style="13"/>
    <col min="14593" max="14593" width="9.33203125" style="13" bestFit="1" customWidth="1"/>
    <col min="14594" max="14594" width="11.88671875" style="13" customWidth="1"/>
    <col min="14595" max="14595" width="60.5546875" style="13" customWidth="1"/>
    <col min="14596" max="14597" width="9.109375" style="13"/>
    <col min="14598" max="14598" width="9.33203125" style="13" bestFit="1" customWidth="1"/>
    <col min="14599" max="14599" width="10.109375" style="13" bestFit="1" customWidth="1"/>
    <col min="14600" max="14600" width="9.5546875" style="13" bestFit="1" customWidth="1"/>
    <col min="14601" max="14848" width="9.109375" style="13"/>
    <col min="14849" max="14849" width="9.33203125" style="13" bestFit="1" customWidth="1"/>
    <col min="14850" max="14850" width="11.88671875" style="13" customWidth="1"/>
    <col min="14851" max="14851" width="60.5546875" style="13" customWidth="1"/>
    <col min="14852" max="14853" width="9.109375" style="13"/>
    <col min="14854" max="14854" width="9.33203125" style="13" bestFit="1" customWidth="1"/>
    <col min="14855" max="14855" width="10.109375" style="13" bestFit="1" customWidth="1"/>
    <col min="14856" max="14856" width="9.5546875" style="13" bestFit="1" customWidth="1"/>
    <col min="14857" max="15104" width="9.109375" style="13"/>
    <col min="15105" max="15105" width="9.33203125" style="13" bestFit="1" customWidth="1"/>
    <col min="15106" max="15106" width="11.88671875" style="13" customWidth="1"/>
    <col min="15107" max="15107" width="60.5546875" style="13" customWidth="1"/>
    <col min="15108" max="15109" width="9.109375" style="13"/>
    <col min="15110" max="15110" width="9.33203125" style="13" bestFit="1" customWidth="1"/>
    <col min="15111" max="15111" width="10.109375" style="13" bestFit="1" customWidth="1"/>
    <col min="15112" max="15112" width="9.5546875" style="13" bestFit="1" customWidth="1"/>
    <col min="15113" max="15360" width="9.109375" style="13"/>
    <col min="15361" max="15361" width="9.33203125" style="13" bestFit="1" customWidth="1"/>
    <col min="15362" max="15362" width="11.88671875" style="13" customWidth="1"/>
    <col min="15363" max="15363" width="60.5546875" style="13" customWidth="1"/>
    <col min="15364" max="15365" width="9.109375" style="13"/>
    <col min="15366" max="15366" width="9.33203125" style="13" bestFit="1" customWidth="1"/>
    <col min="15367" max="15367" width="10.109375" style="13" bestFit="1" customWidth="1"/>
    <col min="15368" max="15368" width="9.5546875" style="13" bestFit="1" customWidth="1"/>
    <col min="15369" max="15616" width="9.109375" style="13"/>
    <col min="15617" max="15617" width="9.33203125" style="13" bestFit="1" customWidth="1"/>
    <col min="15618" max="15618" width="11.88671875" style="13" customWidth="1"/>
    <col min="15619" max="15619" width="60.5546875" style="13" customWidth="1"/>
    <col min="15620" max="15621" width="9.109375" style="13"/>
    <col min="15622" max="15622" width="9.33203125" style="13" bestFit="1" customWidth="1"/>
    <col min="15623" max="15623" width="10.109375" style="13" bestFit="1" customWidth="1"/>
    <col min="15624" max="15624" width="9.5546875" style="13" bestFit="1" customWidth="1"/>
    <col min="15625" max="15872" width="9.109375" style="13"/>
    <col min="15873" max="15873" width="9.33203125" style="13" bestFit="1" customWidth="1"/>
    <col min="15874" max="15874" width="11.88671875" style="13" customWidth="1"/>
    <col min="15875" max="15875" width="60.5546875" style="13" customWidth="1"/>
    <col min="15876" max="15877" width="9.109375" style="13"/>
    <col min="15878" max="15878" width="9.33203125" style="13" bestFit="1" customWidth="1"/>
    <col min="15879" max="15879" width="10.109375" style="13" bestFit="1" customWidth="1"/>
    <col min="15880" max="15880" width="9.5546875" style="13" bestFit="1" customWidth="1"/>
    <col min="15881" max="16128" width="9.109375" style="13"/>
    <col min="16129" max="16129" width="9.33203125" style="13" bestFit="1" customWidth="1"/>
    <col min="16130" max="16130" width="11.88671875" style="13" customWidth="1"/>
    <col min="16131" max="16131" width="60.5546875" style="13" customWidth="1"/>
    <col min="16132" max="16133" width="9.109375" style="13"/>
    <col min="16134" max="16134" width="9.33203125" style="13" bestFit="1" customWidth="1"/>
    <col min="16135" max="16135" width="10.109375" style="13" bestFit="1" customWidth="1"/>
    <col min="16136" max="16136" width="9.5546875" style="13" bestFit="1" customWidth="1"/>
    <col min="16137" max="16384" width="9.109375" style="13"/>
  </cols>
  <sheetData>
    <row r="1" spans="1:8" ht="89.25" customHeight="1">
      <c r="A1" s="366"/>
      <c r="B1" s="366"/>
      <c r="C1" s="366"/>
      <c r="D1" s="366"/>
      <c r="E1" s="366"/>
      <c r="F1" s="366"/>
      <c r="G1" s="366"/>
      <c r="H1" s="366"/>
    </row>
    <row r="2" spans="1:8">
      <c r="A2" s="366" t="s">
        <v>233</v>
      </c>
      <c r="B2" s="366"/>
      <c r="C2" s="366"/>
      <c r="D2" s="366"/>
      <c r="E2" s="366"/>
      <c r="F2" s="366"/>
      <c r="G2" s="366"/>
      <c r="H2" s="366"/>
    </row>
    <row r="3" spans="1:8">
      <c r="A3" s="121"/>
      <c r="B3" s="121"/>
      <c r="C3" s="121"/>
      <c r="D3" s="121"/>
      <c r="E3" s="121"/>
      <c r="F3" s="121"/>
      <c r="G3" s="121"/>
      <c r="H3" s="121"/>
    </row>
    <row r="4" spans="1:8">
      <c r="A4" s="367" t="s">
        <v>234</v>
      </c>
      <c r="B4" s="367"/>
      <c r="C4" s="367"/>
      <c r="D4" s="367"/>
      <c r="E4" s="367"/>
      <c r="F4" s="367"/>
      <c r="G4" s="367"/>
      <c r="H4" s="367"/>
    </row>
    <row r="5" spans="1:8" ht="14.4" thickBot="1">
      <c r="A5" s="368"/>
      <c r="B5" s="369"/>
      <c r="C5" s="370"/>
      <c r="D5" s="370"/>
      <c r="E5" s="370"/>
      <c r="F5" s="370"/>
      <c r="G5" s="370"/>
      <c r="H5" s="371"/>
    </row>
    <row r="6" spans="1:8" ht="41.4">
      <c r="A6" s="341" t="s">
        <v>235</v>
      </c>
      <c r="B6" s="342"/>
      <c r="C6" s="122" t="s">
        <v>236</v>
      </c>
      <c r="D6" s="122" t="s">
        <v>237</v>
      </c>
      <c r="E6" s="122" t="s">
        <v>238</v>
      </c>
      <c r="F6" s="123" t="s">
        <v>239</v>
      </c>
      <c r="G6" s="124" t="s">
        <v>240</v>
      </c>
      <c r="H6" s="125" t="s">
        <v>241</v>
      </c>
    </row>
    <row r="7" spans="1:8" ht="41.4">
      <c r="A7" s="126" t="s">
        <v>242</v>
      </c>
      <c r="B7" s="127" t="s">
        <v>243</v>
      </c>
      <c r="C7" s="102" t="s">
        <v>42</v>
      </c>
      <c r="D7" s="128"/>
      <c r="E7" s="127" t="s">
        <v>35</v>
      </c>
      <c r="F7" s="129"/>
      <c r="G7" s="130"/>
      <c r="H7" s="131"/>
    </row>
    <row r="8" spans="1:8" ht="27.6">
      <c r="A8" s="364" t="s">
        <v>41</v>
      </c>
      <c r="B8" s="365"/>
      <c r="C8" s="132" t="s">
        <v>244</v>
      </c>
      <c r="D8" s="133" t="s">
        <v>245</v>
      </c>
      <c r="E8" s="134" t="s">
        <v>21</v>
      </c>
      <c r="F8" s="135">
        <v>10</v>
      </c>
      <c r="G8" s="136">
        <f>H38</f>
        <v>82.72</v>
      </c>
      <c r="H8" s="137">
        <f>ROUND(G8*F8,2)</f>
        <v>827.2</v>
      </c>
    </row>
    <row r="9" spans="1:8" ht="27.6">
      <c r="A9" s="138">
        <v>94964</v>
      </c>
      <c r="B9" s="139" t="s">
        <v>246</v>
      </c>
      <c r="C9" s="132" t="s">
        <v>247</v>
      </c>
      <c r="D9" s="133" t="s">
        <v>245</v>
      </c>
      <c r="E9" s="134" t="s">
        <v>35</v>
      </c>
      <c r="F9" s="135">
        <v>1</v>
      </c>
      <c r="G9" s="136">
        <v>476.05</v>
      </c>
      <c r="H9" s="137">
        <f>ROUND(G9*F9,2)</f>
        <v>476.05</v>
      </c>
    </row>
    <row r="10" spans="1:8" ht="27.6">
      <c r="A10" s="138">
        <v>103670</v>
      </c>
      <c r="B10" s="139" t="s">
        <v>246</v>
      </c>
      <c r="C10" s="35" t="s">
        <v>248</v>
      </c>
      <c r="D10" s="133" t="s">
        <v>245</v>
      </c>
      <c r="E10" s="134" t="s">
        <v>35</v>
      </c>
      <c r="F10" s="135">
        <v>1</v>
      </c>
      <c r="G10" s="136">
        <v>275.97000000000003</v>
      </c>
      <c r="H10" s="137">
        <f>ROUND(G10*F10,2)</f>
        <v>275.97000000000003</v>
      </c>
    </row>
    <row r="11" spans="1:8" ht="13.8" customHeight="1">
      <c r="A11" s="359" t="s">
        <v>41</v>
      </c>
      <c r="B11" s="360"/>
      <c r="C11" s="132" t="s">
        <v>249</v>
      </c>
      <c r="D11" s="133" t="s">
        <v>245</v>
      </c>
      <c r="E11" s="134" t="s">
        <v>250</v>
      </c>
      <c r="F11" s="135">
        <v>1</v>
      </c>
      <c r="G11" s="136">
        <f>H52</f>
        <v>921.03</v>
      </c>
      <c r="H11" s="137">
        <f>ROUND(G11*F11,2)</f>
        <v>921.03</v>
      </c>
    </row>
    <row r="12" spans="1:8" ht="13.8" customHeight="1">
      <c r="A12" s="343" t="s">
        <v>251</v>
      </c>
      <c r="B12" s="344"/>
      <c r="C12" s="344"/>
      <c r="D12" s="344"/>
      <c r="E12" s="344"/>
      <c r="F12" s="344"/>
      <c r="G12" s="344"/>
      <c r="H12" s="140"/>
    </row>
    <row r="13" spans="1:8" ht="13.8" customHeight="1">
      <c r="A13" s="343" t="s">
        <v>252</v>
      </c>
      <c r="B13" s="344"/>
      <c r="C13" s="344"/>
      <c r="D13" s="344"/>
      <c r="E13" s="344"/>
      <c r="F13" s="344"/>
      <c r="G13" s="344"/>
      <c r="H13" s="140">
        <f>ROUND((SUM(H8:H11)),2)</f>
        <v>2500.25</v>
      </c>
    </row>
    <row r="14" spans="1:8" ht="13.8" customHeight="1">
      <c r="A14" s="343" t="s">
        <v>253</v>
      </c>
      <c r="B14" s="344"/>
      <c r="C14" s="344"/>
      <c r="D14" s="344"/>
      <c r="E14" s="344"/>
      <c r="F14" s="344"/>
      <c r="G14" s="344"/>
      <c r="H14" s="140">
        <v>0</v>
      </c>
    </row>
    <row r="15" spans="1:8" ht="13.8" customHeight="1">
      <c r="A15" s="345" t="s">
        <v>254</v>
      </c>
      <c r="B15" s="346"/>
      <c r="C15" s="346"/>
      <c r="D15" s="346"/>
      <c r="E15" s="346"/>
      <c r="F15" s="346"/>
      <c r="G15" s="346"/>
      <c r="H15" s="141">
        <f>H12+H13+H14</f>
        <v>2500.25</v>
      </c>
    </row>
    <row r="16" spans="1:8">
      <c r="A16" s="361"/>
      <c r="B16" s="362"/>
      <c r="C16" s="362"/>
      <c r="D16" s="362"/>
      <c r="E16" s="362"/>
      <c r="F16" s="362"/>
      <c r="G16" s="362"/>
      <c r="H16" s="363"/>
    </row>
    <row r="17" spans="1:8" ht="13.8" customHeight="1">
      <c r="A17" s="350" t="s">
        <v>255</v>
      </c>
      <c r="B17" s="351"/>
      <c r="C17" s="351"/>
      <c r="D17" s="351"/>
      <c r="E17" s="351"/>
      <c r="F17" s="351"/>
      <c r="G17" s="351"/>
      <c r="H17" s="352"/>
    </row>
    <row r="18" spans="1:8" ht="13.8" customHeight="1">
      <c r="A18" s="350" t="s">
        <v>256</v>
      </c>
      <c r="B18" s="351"/>
      <c r="C18" s="351"/>
      <c r="D18" s="351"/>
      <c r="E18" s="351"/>
      <c r="F18" s="351"/>
      <c r="G18" s="351"/>
      <c r="H18" s="352"/>
    </row>
    <row r="19" spans="1:8">
      <c r="A19" s="356"/>
      <c r="B19" s="357"/>
      <c r="C19" s="357"/>
      <c r="D19" s="357"/>
      <c r="E19" s="357"/>
      <c r="F19" s="357"/>
      <c r="G19" s="357"/>
      <c r="H19" s="358"/>
    </row>
    <row r="20" spans="1:8" ht="13.8" customHeight="1">
      <c r="A20" s="350" t="s">
        <v>257</v>
      </c>
      <c r="B20" s="351"/>
      <c r="C20" s="351"/>
      <c r="D20" s="351"/>
      <c r="E20" s="351"/>
      <c r="F20" s="351"/>
      <c r="G20" s="351"/>
      <c r="H20" s="352"/>
    </row>
    <row r="21" spans="1:8" ht="14.4" customHeight="1" thickBot="1">
      <c r="A21" s="331" t="s">
        <v>258</v>
      </c>
      <c r="B21" s="332"/>
      <c r="C21" s="332"/>
      <c r="D21" s="332"/>
      <c r="E21" s="332"/>
      <c r="F21" s="332"/>
      <c r="G21" s="332"/>
      <c r="H21" s="333"/>
    </row>
    <row r="22" spans="1:8" ht="14.4" thickBot="1">
      <c r="A22" s="142"/>
      <c r="B22" s="142"/>
      <c r="C22" s="142"/>
      <c r="D22" s="142"/>
      <c r="E22" s="142"/>
      <c r="F22" s="142"/>
      <c r="G22" s="142"/>
      <c r="H22" s="142"/>
    </row>
    <row r="23" spans="1:8" ht="41.4">
      <c r="A23" s="341" t="s">
        <v>235</v>
      </c>
      <c r="B23" s="342"/>
      <c r="C23" s="122" t="s">
        <v>236</v>
      </c>
      <c r="D23" s="122" t="s">
        <v>237</v>
      </c>
      <c r="E23" s="122" t="s">
        <v>238</v>
      </c>
      <c r="F23" s="123" t="s">
        <v>239</v>
      </c>
      <c r="G23" s="124" t="s">
        <v>240</v>
      </c>
      <c r="H23" s="125" t="s">
        <v>241</v>
      </c>
    </row>
    <row r="24" spans="1:8" ht="27.6">
      <c r="A24" s="126" t="s">
        <v>242</v>
      </c>
      <c r="B24" s="127" t="s">
        <v>243</v>
      </c>
      <c r="C24" s="102" t="s">
        <v>259</v>
      </c>
      <c r="D24" s="128"/>
      <c r="E24" s="127" t="s">
        <v>21</v>
      </c>
      <c r="F24" s="129"/>
      <c r="G24" s="130"/>
      <c r="H24" s="131"/>
    </row>
    <row r="25" spans="1:8" ht="27.6">
      <c r="A25" s="143">
        <v>88262</v>
      </c>
      <c r="B25" s="139" t="s">
        <v>260</v>
      </c>
      <c r="C25" s="132" t="s">
        <v>261</v>
      </c>
      <c r="D25" s="133" t="s">
        <v>262</v>
      </c>
      <c r="E25" s="134" t="s">
        <v>263</v>
      </c>
      <c r="F25" s="135">
        <v>0.97299999999999998</v>
      </c>
      <c r="G25" s="136">
        <v>25.1</v>
      </c>
      <c r="H25" s="137">
        <f t="shared" ref="H25:H34" si="0">ROUND(G25*F25,2)</f>
        <v>24.42</v>
      </c>
    </row>
    <row r="26" spans="1:8" ht="27.6">
      <c r="A26" s="143">
        <v>88316</v>
      </c>
      <c r="B26" s="139" t="s">
        <v>260</v>
      </c>
      <c r="C26" s="132" t="s">
        <v>264</v>
      </c>
      <c r="D26" s="133" t="s">
        <v>262</v>
      </c>
      <c r="E26" s="134" t="s">
        <v>263</v>
      </c>
      <c r="F26" s="135">
        <v>1.35</v>
      </c>
      <c r="G26" s="136">
        <v>20.28</v>
      </c>
      <c r="H26" s="137">
        <f t="shared" si="0"/>
        <v>27.38</v>
      </c>
    </row>
    <row r="27" spans="1:8" ht="27.6">
      <c r="A27" s="143" t="s">
        <v>265</v>
      </c>
      <c r="B27" s="139" t="s">
        <v>266</v>
      </c>
      <c r="C27" s="132" t="s">
        <v>267</v>
      </c>
      <c r="D27" s="133" t="s">
        <v>245</v>
      </c>
      <c r="E27" s="134" t="s">
        <v>28</v>
      </c>
      <c r="F27" s="135">
        <v>0.122</v>
      </c>
      <c r="G27" s="136">
        <v>20.84</v>
      </c>
      <c r="H27" s="137">
        <f t="shared" si="0"/>
        <v>2.54</v>
      </c>
    </row>
    <row r="28" spans="1:8" ht="12.75" customHeight="1">
      <c r="A28" s="143" t="s">
        <v>268</v>
      </c>
      <c r="B28" s="139" t="s">
        <v>266</v>
      </c>
      <c r="C28" s="132" t="s">
        <v>269</v>
      </c>
      <c r="D28" s="133" t="s">
        <v>245</v>
      </c>
      <c r="E28" s="134" t="s">
        <v>270</v>
      </c>
      <c r="F28" s="135">
        <v>0.1</v>
      </c>
      <c r="G28" s="136">
        <v>17.05</v>
      </c>
      <c r="H28" s="137">
        <f t="shared" si="0"/>
        <v>1.71</v>
      </c>
    </row>
    <row r="29" spans="1:8" ht="12.75" customHeight="1">
      <c r="A29" s="143" t="s">
        <v>271</v>
      </c>
      <c r="B29" s="139" t="s">
        <v>266</v>
      </c>
      <c r="C29" s="132" t="s">
        <v>272</v>
      </c>
      <c r="D29" s="133" t="s">
        <v>245</v>
      </c>
      <c r="E29" s="134" t="s">
        <v>270</v>
      </c>
      <c r="F29" s="135">
        <v>2.5000000000000001E-2</v>
      </c>
      <c r="G29" s="136">
        <v>16.73</v>
      </c>
      <c r="H29" s="137">
        <f t="shared" si="0"/>
        <v>0.42</v>
      </c>
    </row>
    <row r="30" spans="1:8" ht="27.6">
      <c r="A30" s="143" t="s">
        <v>273</v>
      </c>
      <c r="B30" s="139" t="s">
        <v>266</v>
      </c>
      <c r="C30" s="132" t="s">
        <v>274</v>
      </c>
      <c r="D30" s="133" t="s">
        <v>245</v>
      </c>
      <c r="E30" s="134" t="s">
        <v>275</v>
      </c>
      <c r="F30" s="135">
        <v>0.02</v>
      </c>
      <c r="G30" s="136">
        <v>7.77</v>
      </c>
      <c r="H30" s="137">
        <f t="shared" si="0"/>
        <v>0.16</v>
      </c>
    </row>
    <row r="31" spans="1:8" ht="27.6">
      <c r="A31" s="143" t="s">
        <v>276</v>
      </c>
      <c r="B31" s="139" t="s">
        <v>266</v>
      </c>
      <c r="C31" s="132" t="s">
        <v>277</v>
      </c>
      <c r="D31" s="133" t="s">
        <v>245</v>
      </c>
      <c r="E31" s="134" t="s">
        <v>28</v>
      </c>
      <c r="F31" s="135">
        <v>1.089</v>
      </c>
      <c r="G31" s="136">
        <v>5.13</v>
      </c>
      <c r="H31" s="137">
        <f t="shared" si="0"/>
        <v>5.59</v>
      </c>
    </row>
    <row r="32" spans="1:8" ht="27.6">
      <c r="A32" s="143" t="s">
        <v>278</v>
      </c>
      <c r="B32" s="139" t="s">
        <v>266</v>
      </c>
      <c r="C32" s="84" t="s">
        <v>279</v>
      </c>
      <c r="D32" s="133" t="s">
        <v>245</v>
      </c>
      <c r="E32" s="134" t="s">
        <v>250</v>
      </c>
      <c r="F32" s="135">
        <v>0.23400000000000001</v>
      </c>
      <c r="G32" s="136">
        <v>30.99</v>
      </c>
      <c r="H32" s="137">
        <f t="shared" si="0"/>
        <v>7.25</v>
      </c>
    </row>
    <row r="33" spans="1:8" ht="27.6">
      <c r="A33" s="143" t="s">
        <v>280</v>
      </c>
      <c r="B33" s="139" t="s">
        <v>266</v>
      </c>
      <c r="C33" s="132" t="s">
        <v>281</v>
      </c>
      <c r="D33" s="133" t="s">
        <v>245</v>
      </c>
      <c r="E33" s="134" t="s">
        <v>270</v>
      </c>
      <c r="F33" s="135">
        <v>0.15</v>
      </c>
      <c r="G33" s="136">
        <v>21.28</v>
      </c>
      <c r="H33" s="137">
        <f t="shared" si="0"/>
        <v>3.19</v>
      </c>
    </row>
    <row r="34" spans="1:8" ht="27.6">
      <c r="A34" s="143" t="s">
        <v>282</v>
      </c>
      <c r="B34" s="139" t="s">
        <v>266</v>
      </c>
      <c r="C34" s="132" t="s">
        <v>283</v>
      </c>
      <c r="D34" s="133" t="s">
        <v>245</v>
      </c>
      <c r="E34" s="134" t="s">
        <v>35</v>
      </c>
      <c r="F34" s="135">
        <v>4.4200000000000003E-3</v>
      </c>
      <c r="G34" s="136">
        <v>2276.39</v>
      </c>
      <c r="H34" s="137">
        <f t="shared" si="0"/>
        <v>10.06</v>
      </c>
    </row>
    <row r="35" spans="1:8" ht="12.75" customHeight="1">
      <c r="A35" s="343" t="s">
        <v>251</v>
      </c>
      <c r="B35" s="344"/>
      <c r="C35" s="344"/>
      <c r="D35" s="344"/>
      <c r="E35" s="344"/>
      <c r="F35" s="344"/>
      <c r="G35" s="344"/>
      <c r="H35" s="140">
        <f>H25+H26</f>
        <v>51.8</v>
      </c>
    </row>
    <row r="36" spans="1:8" ht="12.75" customHeight="1">
      <c r="A36" s="343" t="s">
        <v>252</v>
      </c>
      <c r="B36" s="344"/>
      <c r="C36" s="344"/>
      <c r="D36" s="344"/>
      <c r="E36" s="344"/>
      <c r="F36" s="344"/>
      <c r="G36" s="344"/>
      <c r="H36" s="140">
        <f>H27+H28+H29+H30+H31+H32+H33+H34</f>
        <v>30.92</v>
      </c>
    </row>
    <row r="37" spans="1:8" ht="12.75" customHeight="1">
      <c r="A37" s="343" t="s">
        <v>253</v>
      </c>
      <c r="B37" s="344"/>
      <c r="C37" s="344"/>
      <c r="D37" s="344"/>
      <c r="E37" s="344"/>
      <c r="F37" s="344"/>
      <c r="G37" s="344"/>
      <c r="H37" s="140">
        <v>0</v>
      </c>
    </row>
    <row r="38" spans="1:8" ht="12.75" customHeight="1">
      <c r="A38" s="345" t="s">
        <v>254</v>
      </c>
      <c r="B38" s="346"/>
      <c r="C38" s="346"/>
      <c r="D38" s="346"/>
      <c r="E38" s="346"/>
      <c r="F38" s="346"/>
      <c r="G38" s="346"/>
      <c r="H38" s="141">
        <f>H35+H36+H37</f>
        <v>82.72</v>
      </c>
    </row>
    <row r="39" spans="1:8" ht="12.75" customHeight="1">
      <c r="A39" s="350" t="s">
        <v>255</v>
      </c>
      <c r="B39" s="351"/>
      <c r="C39" s="351"/>
      <c r="D39" s="351"/>
      <c r="E39" s="351"/>
      <c r="F39" s="351"/>
      <c r="G39" s="351"/>
      <c r="H39" s="352"/>
    </row>
    <row r="40" spans="1:8" ht="12.75" customHeight="1">
      <c r="A40" s="350" t="s">
        <v>284</v>
      </c>
      <c r="B40" s="351"/>
      <c r="C40" s="351"/>
      <c r="D40" s="351"/>
      <c r="E40" s="351"/>
      <c r="F40" s="351"/>
      <c r="G40" s="351"/>
      <c r="H40" s="352"/>
    </row>
    <row r="41" spans="1:8">
      <c r="A41" s="356"/>
      <c r="B41" s="357"/>
      <c r="C41" s="357"/>
      <c r="D41" s="357"/>
      <c r="E41" s="357"/>
      <c r="F41" s="357"/>
      <c r="G41" s="357"/>
      <c r="H41" s="358"/>
    </row>
    <row r="42" spans="1:8" ht="12.75" customHeight="1">
      <c r="A42" s="350" t="s">
        <v>257</v>
      </c>
      <c r="B42" s="351"/>
      <c r="C42" s="351"/>
      <c r="D42" s="351"/>
      <c r="E42" s="351"/>
      <c r="F42" s="351"/>
      <c r="G42" s="351"/>
      <c r="H42" s="352"/>
    </row>
    <row r="43" spans="1:8" ht="12.75" customHeight="1" thickBot="1">
      <c r="A43" s="331" t="s">
        <v>258</v>
      </c>
      <c r="B43" s="332"/>
      <c r="C43" s="332"/>
      <c r="D43" s="332"/>
      <c r="E43" s="332"/>
      <c r="F43" s="332"/>
      <c r="G43" s="332"/>
      <c r="H43" s="333"/>
    </row>
    <row r="44" spans="1:8" ht="12.75" customHeight="1" thickBot="1">
      <c r="A44" s="142"/>
      <c r="B44" s="142"/>
      <c r="C44" s="142"/>
      <c r="D44" s="142"/>
      <c r="E44" s="142"/>
      <c r="F44" s="142"/>
      <c r="G44" s="142"/>
      <c r="H44" s="142"/>
    </row>
    <row r="45" spans="1:8" ht="41.4">
      <c r="A45" s="341" t="s">
        <v>235</v>
      </c>
      <c r="B45" s="342"/>
      <c r="C45" s="122" t="s">
        <v>236</v>
      </c>
      <c r="D45" s="122" t="s">
        <v>237</v>
      </c>
      <c r="E45" s="122" t="s">
        <v>238</v>
      </c>
      <c r="F45" s="123" t="s">
        <v>239</v>
      </c>
      <c r="G45" s="124" t="s">
        <v>240</v>
      </c>
      <c r="H45" s="125" t="s">
        <v>241</v>
      </c>
    </row>
    <row r="46" spans="1:8">
      <c r="A46" s="144" t="s">
        <v>285</v>
      </c>
      <c r="B46" s="127" t="s">
        <v>286</v>
      </c>
      <c r="C46" s="102" t="s">
        <v>249</v>
      </c>
      <c r="D46" s="128"/>
      <c r="E46" s="127" t="s">
        <v>89</v>
      </c>
      <c r="F46" s="129"/>
      <c r="G46" s="130"/>
      <c r="H46" s="131"/>
    </row>
    <row r="47" spans="1:8" ht="41.4">
      <c r="A47" s="145" t="s">
        <v>287</v>
      </c>
      <c r="B47" s="139" t="s">
        <v>246</v>
      </c>
      <c r="C47" s="35" t="s">
        <v>288</v>
      </c>
      <c r="D47" s="133" t="s">
        <v>245</v>
      </c>
      <c r="E47" s="134" t="s">
        <v>270</v>
      </c>
      <c r="F47" s="135">
        <v>22</v>
      </c>
      <c r="G47" s="136">
        <v>15.14</v>
      </c>
      <c r="H47" s="137">
        <f>ROUND(G47*F47,2)</f>
        <v>333.08</v>
      </c>
    </row>
    <row r="48" spans="1:8" ht="41.4">
      <c r="A48" s="145" t="s">
        <v>289</v>
      </c>
      <c r="B48" s="139" t="s">
        <v>246</v>
      </c>
      <c r="C48" s="35" t="s">
        <v>290</v>
      </c>
      <c r="D48" s="133" t="s">
        <v>245</v>
      </c>
      <c r="E48" s="134" t="s">
        <v>270</v>
      </c>
      <c r="F48" s="135">
        <v>55</v>
      </c>
      <c r="G48" s="136">
        <v>10.69</v>
      </c>
      <c r="H48" s="137">
        <f>ROUND(G48*F48,2)</f>
        <v>587.95000000000005</v>
      </c>
    </row>
    <row r="49" spans="1:10" ht="12.75" customHeight="1">
      <c r="A49" s="343" t="s">
        <v>251</v>
      </c>
      <c r="B49" s="344"/>
      <c r="C49" s="344"/>
      <c r="D49" s="344"/>
      <c r="E49" s="344"/>
      <c r="F49" s="344"/>
      <c r="G49" s="344"/>
      <c r="H49" s="140"/>
    </row>
    <row r="50" spans="1:10" ht="12.75" customHeight="1">
      <c r="A50" s="343" t="s">
        <v>252</v>
      </c>
      <c r="B50" s="344"/>
      <c r="C50" s="344"/>
      <c r="D50" s="344"/>
      <c r="E50" s="344"/>
      <c r="F50" s="344"/>
      <c r="G50" s="344"/>
      <c r="H50" s="140">
        <f>ROUND((H47+H48),2)</f>
        <v>921.03</v>
      </c>
    </row>
    <row r="51" spans="1:10" ht="12.75" customHeight="1">
      <c r="A51" s="343" t="s">
        <v>253</v>
      </c>
      <c r="B51" s="344"/>
      <c r="C51" s="344"/>
      <c r="D51" s="344"/>
      <c r="E51" s="344"/>
      <c r="F51" s="344"/>
      <c r="G51" s="344"/>
      <c r="H51" s="140">
        <v>0</v>
      </c>
    </row>
    <row r="52" spans="1:10" ht="12.75" customHeight="1">
      <c r="A52" s="345" t="s">
        <v>254</v>
      </c>
      <c r="B52" s="346"/>
      <c r="C52" s="346"/>
      <c r="D52" s="346"/>
      <c r="E52" s="346"/>
      <c r="F52" s="346"/>
      <c r="G52" s="346"/>
      <c r="H52" s="141">
        <f>ROUND((H49+H50+H51),2)</f>
        <v>921.03</v>
      </c>
    </row>
    <row r="53" spans="1:10">
      <c r="A53" s="347"/>
      <c r="B53" s="348"/>
      <c r="C53" s="348"/>
      <c r="D53" s="348"/>
      <c r="E53" s="348"/>
      <c r="F53" s="348"/>
      <c r="G53" s="348"/>
      <c r="H53" s="349"/>
    </row>
    <row r="54" spans="1:10" ht="12.75" customHeight="1">
      <c r="A54" s="350" t="s">
        <v>255</v>
      </c>
      <c r="B54" s="351"/>
      <c r="C54" s="351"/>
      <c r="D54" s="351"/>
      <c r="E54" s="351"/>
      <c r="F54" s="351"/>
      <c r="G54" s="351"/>
      <c r="H54" s="352"/>
    </row>
    <row r="55" spans="1:10" ht="12.75" customHeight="1">
      <c r="A55" s="350" t="s">
        <v>291</v>
      </c>
      <c r="B55" s="351"/>
      <c r="C55" s="351"/>
      <c r="D55" s="351"/>
      <c r="E55" s="351"/>
      <c r="F55" s="351"/>
      <c r="G55" s="351"/>
      <c r="H55" s="352"/>
    </row>
    <row r="56" spans="1:10">
      <c r="A56" s="353"/>
      <c r="B56" s="354"/>
      <c r="C56" s="354"/>
      <c r="D56" s="354"/>
      <c r="E56" s="354"/>
      <c r="F56" s="354"/>
      <c r="G56" s="354"/>
      <c r="H56" s="355"/>
    </row>
    <row r="57" spans="1:10" ht="12.75" customHeight="1">
      <c r="A57" s="350" t="s">
        <v>257</v>
      </c>
      <c r="B57" s="351"/>
      <c r="C57" s="351"/>
      <c r="D57" s="351"/>
      <c r="E57" s="351"/>
      <c r="F57" s="351"/>
      <c r="G57" s="351"/>
      <c r="H57" s="352"/>
    </row>
    <row r="58" spans="1:10" ht="12.75" customHeight="1" thickBot="1">
      <c r="A58" s="331" t="s">
        <v>258</v>
      </c>
      <c r="B58" s="332"/>
      <c r="C58" s="332"/>
      <c r="D58" s="332"/>
      <c r="E58" s="332"/>
      <c r="F58" s="332"/>
      <c r="G58" s="332"/>
      <c r="H58" s="333"/>
    </row>
    <row r="59" spans="1:10" ht="14.4" thickBot="1">
      <c r="A59" s="146"/>
      <c r="B59" s="146"/>
      <c r="C59" s="146"/>
      <c r="D59" s="146"/>
      <c r="E59" s="146"/>
      <c r="F59" s="146"/>
      <c r="G59" s="146"/>
      <c r="H59" s="146"/>
    </row>
    <row r="60" spans="1:10" ht="41.4">
      <c r="A60" s="341" t="s">
        <v>235</v>
      </c>
      <c r="B60" s="342"/>
      <c r="C60" s="122" t="s">
        <v>236</v>
      </c>
      <c r="D60" s="122" t="s">
        <v>237</v>
      </c>
      <c r="E60" s="122" t="s">
        <v>238</v>
      </c>
      <c r="F60" s="123" t="s">
        <v>239</v>
      </c>
      <c r="G60" s="124" t="s">
        <v>240</v>
      </c>
      <c r="H60" s="147" t="s">
        <v>241</v>
      </c>
    </row>
    <row r="61" spans="1:10" ht="41.4">
      <c r="A61" s="144" t="s">
        <v>285</v>
      </c>
      <c r="B61" s="127" t="s">
        <v>286</v>
      </c>
      <c r="C61" s="148" t="s">
        <v>44</v>
      </c>
      <c r="D61" s="127"/>
      <c r="E61" s="127" t="s">
        <v>35</v>
      </c>
      <c r="F61" s="129"/>
      <c r="G61" s="130"/>
      <c r="H61" s="131"/>
    </row>
    <row r="62" spans="1:10" ht="55.2">
      <c r="A62" s="149">
        <v>5901</v>
      </c>
      <c r="B62" s="41" t="s">
        <v>292</v>
      </c>
      <c r="C62" s="35" t="s">
        <v>293</v>
      </c>
      <c r="D62" s="133" t="s">
        <v>294</v>
      </c>
      <c r="E62" s="34" t="s">
        <v>295</v>
      </c>
      <c r="F62" s="150">
        <v>6.0000000000000001E-3</v>
      </c>
      <c r="G62" s="136">
        <v>345.12</v>
      </c>
      <c r="H62" s="151"/>
    </row>
    <row r="63" spans="1:10" ht="55.2">
      <c r="A63" s="149">
        <v>5903</v>
      </c>
      <c r="B63" s="41" t="s">
        <v>292</v>
      </c>
      <c r="C63" s="35" t="s">
        <v>296</v>
      </c>
      <c r="D63" s="133" t="s">
        <v>294</v>
      </c>
      <c r="E63" s="34" t="s">
        <v>297</v>
      </c>
      <c r="F63" s="150">
        <v>3.0000000000000001E-3</v>
      </c>
      <c r="G63" s="136">
        <v>62.56</v>
      </c>
      <c r="H63" s="151"/>
      <c r="J63" s="152">
        <f>SUM(H62:H67)</f>
        <v>32.83</v>
      </c>
    </row>
    <row r="64" spans="1:10" ht="27.6">
      <c r="A64" s="149">
        <v>6079</v>
      </c>
      <c r="B64" s="41" t="s">
        <v>298</v>
      </c>
      <c r="C64" s="35" t="s">
        <v>299</v>
      </c>
      <c r="D64" s="133" t="s">
        <v>245</v>
      </c>
      <c r="E64" s="34" t="s">
        <v>35</v>
      </c>
      <c r="F64" s="150">
        <v>1.25</v>
      </c>
      <c r="G64" s="136">
        <v>45.29</v>
      </c>
      <c r="H64" s="151"/>
    </row>
    <row r="65" spans="1:8">
      <c r="A65" s="149" t="s">
        <v>300</v>
      </c>
      <c r="B65" s="41" t="s">
        <v>292</v>
      </c>
      <c r="C65" s="35" t="s">
        <v>264</v>
      </c>
      <c r="D65" s="133" t="s">
        <v>262</v>
      </c>
      <c r="E65" s="34" t="s">
        <v>263</v>
      </c>
      <c r="F65" s="150">
        <v>0.65900000000000003</v>
      </c>
      <c r="G65" s="136">
        <v>20.28</v>
      </c>
      <c r="H65" s="153">
        <f>ROUND(G65*F65,2)</f>
        <v>13.36</v>
      </c>
    </row>
    <row r="66" spans="1:8" ht="27.6">
      <c r="A66" s="149">
        <v>91533</v>
      </c>
      <c r="B66" s="41" t="s">
        <v>292</v>
      </c>
      <c r="C66" s="35" t="s">
        <v>301</v>
      </c>
      <c r="D66" s="133" t="s">
        <v>294</v>
      </c>
      <c r="E66" s="34" t="s">
        <v>295</v>
      </c>
      <c r="F66" s="150">
        <v>0.27400000000000002</v>
      </c>
      <c r="G66" s="136">
        <v>40.14</v>
      </c>
      <c r="H66" s="153">
        <f>ROUND(G66*F66,2)</f>
        <v>11</v>
      </c>
    </row>
    <row r="67" spans="1:8" ht="27.6">
      <c r="A67" s="149">
        <v>91534</v>
      </c>
      <c r="B67" s="41" t="s">
        <v>292</v>
      </c>
      <c r="C67" s="35" t="s">
        <v>302</v>
      </c>
      <c r="D67" s="133" t="s">
        <v>294</v>
      </c>
      <c r="E67" s="34" t="s">
        <v>297</v>
      </c>
      <c r="F67" s="150">
        <v>0.254</v>
      </c>
      <c r="G67" s="136">
        <v>33.35</v>
      </c>
      <c r="H67" s="153">
        <f>ROUND(G67*F67,2)</f>
        <v>8.4700000000000006</v>
      </c>
    </row>
    <row r="68" spans="1:8">
      <c r="A68" s="334" t="s">
        <v>251</v>
      </c>
      <c r="B68" s="335"/>
      <c r="C68" s="335"/>
      <c r="D68" s="335"/>
      <c r="E68" s="335"/>
      <c r="F68" s="335"/>
      <c r="G68" s="335"/>
      <c r="H68" s="154">
        <f>H65</f>
        <v>13.36</v>
      </c>
    </row>
    <row r="69" spans="1:8">
      <c r="A69" s="334" t="s">
        <v>252</v>
      </c>
      <c r="B69" s="335"/>
      <c r="C69" s="335"/>
      <c r="D69" s="335"/>
      <c r="E69" s="335"/>
      <c r="F69" s="335"/>
      <c r="G69" s="335"/>
      <c r="H69" s="154">
        <f>H64</f>
        <v>0</v>
      </c>
    </row>
    <row r="70" spans="1:8">
      <c r="A70" s="334" t="s">
        <v>253</v>
      </c>
      <c r="B70" s="335"/>
      <c r="C70" s="335"/>
      <c r="D70" s="335"/>
      <c r="E70" s="335"/>
      <c r="F70" s="335"/>
      <c r="G70" s="335"/>
      <c r="H70" s="154">
        <f>H62+H63+H66+H67</f>
        <v>19.47</v>
      </c>
    </row>
    <row r="71" spans="1:8">
      <c r="A71" s="336" t="s">
        <v>254</v>
      </c>
      <c r="B71" s="337"/>
      <c r="C71" s="337"/>
      <c r="D71" s="337"/>
      <c r="E71" s="337"/>
      <c r="F71" s="337"/>
      <c r="G71" s="337"/>
      <c r="H71" s="155">
        <f>SUM(H68:H70)</f>
        <v>32.83</v>
      </c>
    </row>
    <row r="72" spans="1:8">
      <c r="A72" s="338" t="s">
        <v>303</v>
      </c>
      <c r="B72" s="339"/>
      <c r="C72" s="339"/>
      <c r="D72" s="339"/>
      <c r="E72" s="339"/>
      <c r="F72" s="339"/>
      <c r="G72" s="339"/>
      <c r="H72" s="340"/>
    </row>
    <row r="73" spans="1:8">
      <c r="A73" s="328" t="s">
        <v>304</v>
      </c>
      <c r="B73" s="329"/>
      <c r="C73" s="329"/>
      <c r="D73" s="329"/>
      <c r="E73" s="329"/>
      <c r="F73" s="329"/>
      <c r="G73" s="329"/>
      <c r="H73" s="330"/>
    </row>
    <row r="74" spans="1:8">
      <c r="A74" s="156"/>
      <c r="B74" s="157"/>
      <c r="C74" s="157"/>
      <c r="D74" s="157"/>
      <c r="E74" s="157"/>
      <c r="F74" s="157"/>
      <c r="G74" s="157"/>
      <c r="H74" s="158"/>
    </row>
    <row r="75" spans="1:8">
      <c r="A75" s="328" t="s">
        <v>305</v>
      </c>
      <c r="B75" s="329"/>
      <c r="C75" s="329"/>
      <c r="D75" s="329"/>
      <c r="E75" s="329"/>
      <c r="F75" s="329"/>
      <c r="G75" s="329"/>
      <c r="H75" s="330"/>
    </row>
    <row r="76" spans="1:8" ht="14.4" customHeight="1" thickBot="1">
      <c r="A76" s="331" t="s">
        <v>258</v>
      </c>
      <c r="B76" s="332"/>
      <c r="C76" s="332"/>
      <c r="D76" s="332"/>
      <c r="E76" s="332"/>
      <c r="F76" s="332"/>
      <c r="G76" s="332"/>
      <c r="H76" s="333"/>
    </row>
    <row r="77" spans="1:8" ht="14.4" thickBot="1"/>
    <row r="78" spans="1:8" ht="41.4">
      <c r="A78" s="341" t="s">
        <v>235</v>
      </c>
      <c r="B78" s="342"/>
      <c r="C78" s="122" t="s">
        <v>236</v>
      </c>
      <c r="D78" s="122" t="s">
        <v>237</v>
      </c>
      <c r="E78" s="122" t="s">
        <v>238</v>
      </c>
      <c r="F78" s="123" t="s">
        <v>239</v>
      </c>
      <c r="G78" s="124" t="s">
        <v>240</v>
      </c>
      <c r="H78" s="147" t="s">
        <v>241</v>
      </c>
    </row>
    <row r="79" spans="1:8" ht="27.6">
      <c r="A79" s="144" t="s">
        <v>285</v>
      </c>
      <c r="B79" s="127" t="s">
        <v>286</v>
      </c>
      <c r="C79" s="148" t="s">
        <v>79</v>
      </c>
      <c r="D79" s="127"/>
      <c r="E79" s="127" t="s">
        <v>21</v>
      </c>
      <c r="F79" s="129"/>
      <c r="G79" s="130"/>
      <c r="H79" s="131"/>
    </row>
    <row r="80" spans="1:8">
      <c r="A80" s="159" t="s">
        <v>300</v>
      </c>
      <c r="B80" s="41" t="s">
        <v>292</v>
      </c>
      <c r="C80" s="160" t="s">
        <v>264</v>
      </c>
      <c r="D80" s="133" t="s">
        <v>262</v>
      </c>
      <c r="E80" s="159" t="s">
        <v>263</v>
      </c>
      <c r="F80" s="161">
        <v>0.06</v>
      </c>
      <c r="G80" s="136">
        <v>20.28</v>
      </c>
      <c r="H80" s="153">
        <f>ROUND(G80*F80,2)</f>
        <v>1.22</v>
      </c>
    </row>
    <row r="81" spans="1:8">
      <c r="A81" s="159">
        <v>88245</v>
      </c>
      <c r="B81" s="41" t="s">
        <v>292</v>
      </c>
      <c r="C81" s="160" t="s">
        <v>306</v>
      </c>
      <c r="D81" s="133" t="s">
        <v>262</v>
      </c>
      <c r="E81" s="159" t="s">
        <v>263</v>
      </c>
      <c r="F81" s="161">
        <v>0.03</v>
      </c>
      <c r="G81" s="136">
        <v>25.24</v>
      </c>
      <c r="H81" s="153">
        <f>ROUND(G81*F81,2)</f>
        <v>0.76</v>
      </c>
    </row>
    <row r="82" spans="1:8" ht="27.6">
      <c r="A82" s="162">
        <v>43132</v>
      </c>
      <c r="B82" s="41" t="s">
        <v>298</v>
      </c>
      <c r="C82" s="163" t="s">
        <v>307</v>
      </c>
      <c r="D82" s="133" t="s">
        <v>245</v>
      </c>
      <c r="E82" s="164" t="s">
        <v>270</v>
      </c>
      <c r="F82" s="165">
        <v>1.4999999999999999E-2</v>
      </c>
      <c r="G82" s="136">
        <v>21.28</v>
      </c>
      <c r="H82" s="153">
        <f>ROUND(G82*F82,2)</f>
        <v>0.32</v>
      </c>
    </row>
    <row r="83" spans="1:8" ht="41.4">
      <c r="A83" s="162">
        <v>21141</v>
      </c>
      <c r="B83" s="41" t="s">
        <v>298</v>
      </c>
      <c r="C83" s="163" t="s">
        <v>308</v>
      </c>
      <c r="D83" s="133" t="s">
        <v>245</v>
      </c>
      <c r="E83" s="164" t="s">
        <v>21</v>
      </c>
      <c r="F83" s="165">
        <v>1.03</v>
      </c>
      <c r="G83" s="136">
        <v>12.26</v>
      </c>
      <c r="H83" s="153">
        <f>ROUND(G83*F83,2)</f>
        <v>12.63</v>
      </c>
    </row>
    <row r="84" spans="1:8">
      <c r="A84" s="334" t="s">
        <v>251</v>
      </c>
      <c r="B84" s="335"/>
      <c r="C84" s="335"/>
      <c r="D84" s="335"/>
      <c r="E84" s="335"/>
      <c r="F84" s="335"/>
      <c r="G84" s="335"/>
      <c r="H84" s="154">
        <f>H80+H81</f>
        <v>1.98</v>
      </c>
    </row>
    <row r="85" spans="1:8">
      <c r="A85" s="334" t="s">
        <v>252</v>
      </c>
      <c r="B85" s="335"/>
      <c r="C85" s="335"/>
      <c r="D85" s="335"/>
      <c r="E85" s="335"/>
      <c r="F85" s="335"/>
      <c r="G85" s="335"/>
      <c r="H85" s="154">
        <f>H82+H83</f>
        <v>12.950000000000001</v>
      </c>
    </row>
    <row r="86" spans="1:8">
      <c r="A86" s="334" t="s">
        <v>253</v>
      </c>
      <c r="B86" s="335"/>
      <c r="C86" s="335"/>
      <c r="D86" s="335"/>
      <c r="E86" s="335"/>
      <c r="F86" s="335"/>
      <c r="G86" s="335"/>
      <c r="H86" s="154"/>
    </row>
    <row r="87" spans="1:8">
      <c r="A87" s="336" t="s">
        <v>254</v>
      </c>
      <c r="B87" s="337"/>
      <c r="C87" s="337"/>
      <c r="D87" s="337"/>
      <c r="E87" s="337"/>
      <c r="F87" s="337"/>
      <c r="G87" s="337"/>
      <c r="H87" s="155">
        <f>SUM(H84:H86)</f>
        <v>14.930000000000001</v>
      </c>
    </row>
    <row r="88" spans="1:8">
      <c r="A88" s="338" t="s">
        <v>303</v>
      </c>
      <c r="B88" s="339"/>
      <c r="C88" s="339"/>
      <c r="D88" s="339"/>
      <c r="E88" s="339"/>
      <c r="F88" s="339"/>
      <c r="G88" s="339"/>
      <c r="H88" s="340"/>
    </row>
    <row r="89" spans="1:8" ht="26.25" customHeight="1">
      <c r="A89" s="328" t="s">
        <v>309</v>
      </c>
      <c r="B89" s="329"/>
      <c r="C89" s="329"/>
      <c r="D89" s="329"/>
      <c r="E89" s="329"/>
      <c r="F89" s="329"/>
      <c r="G89" s="329"/>
      <c r="H89" s="330"/>
    </row>
    <row r="90" spans="1:8">
      <c r="A90" s="156"/>
      <c r="B90" s="157"/>
      <c r="C90" s="157"/>
      <c r="D90" s="157"/>
      <c r="E90" s="157"/>
      <c r="F90" s="157"/>
      <c r="G90" s="157"/>
      <c r="H90" s="158"/>
    </row>
    <row r="91" spans="1:8">
      <c r="A91" s="328" t="s">
        <v>305</v>
      </c>
      <c r="B91" s="329"/>
      <c r="C91" s="329"/>
      <c r="D91" s="329"/>
      <c r="E91" s="329"/>
      <c r="F91" s="329"/>
      <c r="G91" s="329"/>
      <c r="H91" s="330"/>
    </row>
    <row r="92" spans="1:8" ht="14.4" customHeight="1" thickBot="1">
      <c r="A92" s="331" t="s">
        <v>258</v>
      </c>
      <c r="B92" s="332"/>
      <c r="C92" s="332"/>
      <c r="D92" s="332"/>
      <c r="E92" s="332"/>
      <c r="F92" s="332"/>
      <c r="G92" s="332"/>
      <c r="H92" s="333"/>
    </row>
    <row r="93" spans="1:8" ht="14.4" thickBot="1"/>
    <row r="94" spans="1:8" ht="41.4">
      <c r="A94" s="341" t="s">
        <v>235</v>
      </c>
      <c r="B94" s="342"/>
      <c r="C94" s="122" t="s">
        <v>236</v>
      </c>
      <c r="D94" s="122" t="s">
        <v>237</v>
      </c>
      <c r="E94" s="122" t="s">
        <v>238</v>
      </c>
      <c r="F94" s="123" t="s">
        <v>239</v>
      </c>
      <c r="G94" s="124" t="s">
        <v>240</v>
      </c>
      <c r="H94" s="147" t="s">
        <v>241</v>
      </c>
    </row>
    <row r="95" spans="1:8" ht="41.4">
      <c r="A95" s="144" t="s">
        <v>285</v>
      </c>
      <c r="B95" s="127" t="s">
        <v>286</v>
      </c>
      <c r="C95" s="148" t="s">
        <v>88</v>
      </c>
      <c r="D95" s="127"/>
      <c r="E95" s="127" t="s">
        <v>89</v>
      </c>
      <c r="F95" s="129"/>
      <c r="G95" s="130"/>
      <c r="H95" s="131"/>
    </row>
    <row r="96" spans="1:8" ht="41.4">
      <c r="A96" s="162">
        <v>91919</v>
      </c>
      <c r="B96" s="41" t="s">
        <v>292</v>
      </c>
      <c r="C96" s="35" t="s">
        <v>310</v>
      </c>
      <c r="D96" s="164" t="s">
        <v>245</v>
      </c>
      <c r="E96" s="164" t="s">
        <v>250</v>
      </c>
      <c r="F96" s="166">
        <v>1</v>
      </c>
      <c r="G96" s="136">
        <v>24.29</v>
      </c>
      <c r="H96" s="153">
        <f>ROUND(G96*F96,2)</f>
        <v>24.29</v>
      </c>
    </row>
    <row r="97" spans="1:8" ht="41.4">
      <c r="A97" s="162">
        <v>91885</v>
      </c>
      <c r="B97" s="41" t="s">
        <v>292</v>
      </c>
      <c r="C97" s="35" t="s">
        <v>311</v>
      </c>
      <c r="D97" s="164" t="s">
        <v>245</v>
      </c>
      <c r="E97" s="164" t="s">
        <v>250</v>
      </c>
      <c r="F97" s="166">
        <v>1</v>
      </c>
      <c r="G97" s="136">
        <v>12.74</v>
      </c>
      <c r="H97" s="153">
        <f t="shared" ref="H97:H117" si="1">ROUND(G97*F97,2)</f>
        <v>12.74</v>
      </c>
    </row>
    <row r="98" spans="1:8" ht="41.4">
      <c r="A98" s="162">
        <v>91872</v>
      </c>
      <c r="B98" s="41" t="s">
        <v>292</v>
      </c>
      <c r="C98" s="35" t="s">
        <v>92</v>
      </c>
      <c r="D98" s="164" t="s">
        <v>245</v>
      </c>
      <c r="E98" s="164" t="s">
        <v>28</v>
      </c>
      <c r="F98" s="166">
        <v>6.05</v>
      </c>
      <c r="G98" s="136">
        <v>17.850000000000001</v>
      </c>
      <c r="H98" s="153">
        <f t="shared" si="1"/>
        <v>107.99</v>
      </c>
    </row>
    <row r="99" spans="1:8" ht="27.6">
      <c r="A99" s="162">
        <v>93673</v>
      </c>
      <c r="B99" s="41" t="s">
        <v>292</v>
      </c>
      <c r="C99" s="163" t="s">
        <v>312</v>
      </c>
      <c r="D99" s="164" t="s">
        <v>245</v>
      </c>
      <c r="E99" s="164" t="s">
        <v>250</v>
      </c>
      <c r="F99" s="166">
        <v>1</v>
      </c>
      <c r="G99" s="136">
        <v>115.81</v>
      </c>
      <c r="H99" s="153">
        <f t="shared" si="1"/>
        <v>115.81</v>
      </c>
    </row>
    <row r="100" spans="1:8" ht="27.6">
      <c r="A100" s="162">
        <v>91933</v>
      </c>
      <c r="B100" s="41" t="s">
        <v>292</v>
      </c>
      <c r="C100" s="35" t="s">
        <v>313</v>
      </c>
      <c r="D100" s="164" t="s">
        <v>245</v>
      </c>
      <c r="E100" s="164" t="s">
        <v>28</v>
      </c>
      <c r="F100" s="166">
        <v>22.2</v>
      </c>
      <c r="G100" s="136">
        <v>13.91</v>
      </c>
      <c r="H100" s="153">
        <f t="shared" si="1"/>
        <v>308.8</v>
      </c>
    </row>
    <row r="101" spans="1:8" ht="41.4">
      <c r="A101" s="162">
        <v>91917</v>
      </c>
      <c r="B101" s="41" t="s">
        <v>292</v>
      </c>
      <c r="C101" s="35" t="s">
        <v>314</v>
      </c>
      <c r="D101" s="164" t="s">
        <v>245</v>
      </c>
      <c r="E101" s="164" t="s">
        <v>250</v>
      </c>
      <c r="F101" s="166">
        <v>1</v>
      </c>
      <c r="G101" s="136">
        <v>21.46</v>
      </c>
      <c r="H101" s="153">
        <f t="shared" si="1"/>
        <v>21.46</v>
      </c>
    </row>
    <row r="102" spans="1:8" ht="41.4">
      <c r="A102" s="162">
        <v>100578</v>
      </c>
      <c r="B102" s="41" t="s">
        <v>292</v>
      </c>
      <c r="C102" s="163" t="s">
        <v>315</v>
      </c>
      <c r="D102" s="164" t="s">
        <v>245</v>
      </c>
      <c r="E102" s="164" t="s">
        <v>250</v>
      </c>
      <c r="F102" s="166">
        <v>1</v>
      </c>
      <c r="G102" s="136">
        <v>434.12</v>
      </c>
      <c r="H102" s="153">
        <f t="shared" si="1"/>
        <v>434.12</v>
      </c>
    </row>
    <row r="103" spans="1:8" ht="27.6">
      <c r="A103" s="162">
        <v>96986</v>
      </c>
      <c r="B103" s="41" t="s">
        <v>292</v>
      </c>
      <c r="C103" s="35" t="s">
        <v>316</v>
      </c>
      <c r="D103" s="164" t="s">
        <v>245</v>
      </c>
      <c r="E103" s="164" t="s">
        <v>250</v>
      </c>
      <c r="F103" s="166">
        <v>1</v>
      </c>
      <c r="G103" s="136">
        <v>188.12</v>
      </c>
      <c r="H103" s="153">
        <f t="shared" si="1"/>
        <v>188.12</v>
      </c>
    </row>
    <row r="104" spans="1:8" ht="27.6">
      <c r="A104" s="162">
        <v>96977</v>
      </c>
      <c r="B104" s="41" t="s">
        <v>292</v>
      </c>
      <c r="C104" s="163" t="s">
        <v>317</v>
      </c>
      <c r="D104" s="164" t="s">
        <v>245</v>
      </c>
      <c r="E104" s="164" t="s">
        <v>28</v>
      </c>
      <c r="F104" s="167"/>
      <c r="G104" s="168"/>
      <c r="H104" s="151">
        <f t="shared" si="1"/>
        <v>0</v>
      </c>
    </row>
    <row r="105" spans="1:8">
      <c r="A105" s="162">
        <v>88247</v>
      </c>
      <c r="B105" s="41" t="s">
        <v>292</v>
      </c>
      <c r="C105" s="163" t="s">
        <v>318</v>
      </c>
      <c r="D105" s="164" t="s">
        <v>262</v>
      </c>
      <c r="E105" s="164" t="s">
        <v>263</v>
      </c>
      <c r="F105" s="166">
        <v>0.38969999999999999</v>
      </c>
      <c r="G105" s="136">
        <v>21.63</v>
      </c>
      <c r="H105" s="153">
        <f t="shared" si="1"/>
        <v>8.43</v>
      </c>
    </row>
    <row r="106" spans="1:8">
      <c r="A106" s="162">
        <v>88264</v>
      </c>
      <c r="B106" s="41" t="s">
        <v>292</v>
      </c>
      <c r="C106" s="163" t="s">
        <v>319</v>
      </c>
      <c r="D106" s="164" t="s">
        <v>245</v>
      </c>
      <c r="E106" s="164" t="s">
        <v>263</v>
      </c>
      <c r="F106" s="166">
        <v>3.5078</v>
      </c>
      <c r="G106" s="136">
        <v>25.82</v>
      </c>
      <c r="H106" s="153">
        <f t="shared" si="1"/>
        <v>90.57</v>
      </c>
    </row>
    <row r="107" spans="1:8" ht="27.6">
      <c r="A107" s="162">
        <v>1094</v>
      </c>
      <c r="B107" s="41" t="s">
        <v>298</v>
      </c>
      <c r="C107" s="163" t="s">
        <v>320</v>
      </c>
      <c r="D107" s="164" t="s">
        <v>245</v>
      </c>
      <c r="E107" s="164" t="s">
        <v>250</v>
      </c>
      <c r="F107" s="166">
        <v>1</v>
      </c>
      <c r="G107" s="136">
        <v>17.57</v>
      </c>
      <c r="H107" s="153">
        <f t="shared" si="1"/>
        <v>17.57</v>
      </c>
    </row>
    <row r="108" spans="1:8" ht="41.4">
      <c r="A108" s="162">
        <v>11267</v>
      </c>
      <c r="B108" s="41" t="s">
        <v>298</v>
      </c>
      <c r="C108" s="163" t="s">
        <v>321</v>
      </c>
      <c r="D108" s="164" t="s">
        <v>245</v>
      </c>
      <c r="E108" s="164" t="s">
        <v>250</v>
      </c>
      <c r="F108" s="166">
        <v>2</v>
      </c>
      <c r="G108" s="136">
        <v>1.56</v>
      </c>
      <c r="H108" s="153">
        <f t="shared" si="1"/>
        <v>3.12</v>
      </c>
    </row>
    <row r="109" spans="1:8" ht="27.6">
      <c r="A109" s="162">
        <v>11950</v>
      </c>
      <c r="B109" s="41" t="s">
        <v>298</v>
      </c>
      <c r="C109" s="163" t="s">
        <v>322</v>
      </c>
      <c r="D109" s="164" t="s">
        <v>245</v>
      </c>
      <c r="E109" s="164" t="s">
        <v>250</v>
      </c>
      <c r="F109" s="166">
        <v>4</v>
      </c>
      <c r="G109" s="136">
        <v>0.33</v>
      </c>
      <c r="H109" s="153">
        <f t="shared" si="1"/>
        <v>1.32</v>
      </c>
    </row>
    <row r="110" spans="1:8" ht="27.6">
      <c r="A110" s="162">
        <v>34643</v>
      </c>
      <c r="B110" s="41" t="s">
        <v>298</v>
      </c>
      <c r="C110" s="163" t="s">
        <v>323</v>
      </c>
      <c r="D110" s="164" t="s">
        <v>245</v>
      </c>
      <c r="E110" s="164" t="s">
        <v>250</v>
      </c>
      <c r="F110" s="166">
        <v>1</v>
      </c>
      <c r="G110" s="136">
        <v>35.44</v>
      </c>
      <c r="H110" s="153">
        <f t="shared" si="1"/>
        <v>35.44</v>
      </c>
    </row>
    <row r="111" spans="1:8" ht="41.4">
      <c r="A111" s="162">
        <v>39808</v>
      </c>
      <c r="B111" s="41" t="s">
        <v>298</v>
      </c>
      <c r="C111" s="163" t="s">
        <v>324</v>
      </c>
      <c r="D111" s="164" t="s">
        <v>245</v>
      </c>
      <c r="E111" s="164" t="s">
        <v>250</v>
      </c>
      <c r="F111" s="166">
        <v>1</v>
      </c>
      <c r="G111" s="136">
        <v>126.03</v>
      </c>
      <c r="H111" s="153">
        <f t="shared" si="1"/>
        <v>126.03</v>
      </c>
    </row>
    <row r="112" spans="1:8" ht="27.6">
      <c r="A112" s="162">
        <v>11864</v>
      </c>
      <c r="B112" s="41" t="s">
        <v>298</v>
      </c>
      <c r="C112" s="163" t="s">
        <v>325</v>
      </c>
      <c r="D112" s="164" t="s">
        <v>245</v>
      </c>
      <c r="E112" s="164" t="s">
        <v>250</v>
      </c>
      <c r="F112" s="166">
        <v>1</v>
      </c>
      <c r="G112" s="136">
        <v>43.65</v>
      </c>
      <c r="H112" s="153">
        <f t="shared" si="1"/>
        <v>43.65</v>
      </c>
    </row>
    <row r="113" spans="1:8" ht="27.6">
      <c r="A113" s="162">
        <v>14153</v>
      </c>
      <c r="B113" s="41" t="s">
        <v>298</v>
      </c>
      <c r="C113" s="163" t="s">
        <v>326</v>
      </c>
      <c r="D113" s="164" t="s">
        <v>245</v>
      </c>
      <c r="E113" s="164" t="s">
        <v>250</v>
      </c>
      <c r="F113" s="166">
        <v>0.06</v>
      </c>
      <c r="G113" s="136">
        <v>55.49</v>
      </c>
      <c r="H113" s="153">
        <f t="shared" si="1"/>
        <v>3.33</v>
      </c>
    </row>
    <row r="114" spans="1:8" ht="27.6">
      <c r="A114" s="162">
        <v>3398</v>
      </c>
      <c r="B114" s="41" t="s">
        <v>298</v>
      </c>
      <c r="C114" s="163" t="s">
        <v>327</v>
      </c>
      <c r="D114" s="164" t="s">
        <v>245</v>
      </c>
      <c r="E114" s="164" t="s">
        <v>250</v>
      </c>
      <c r="F114" s="166">
        <v>1</v>
      </c>
      <c r="G114" s="136">
        <v>5.92</v>
      </c>
      <c r="H114" s="153">
        <f t="shared" si="1"/>
        <v>5.92</v>
      </c>
    </row>
    <row r="115" spans="1:8" ht="41.4">
      <c r="A115" s="162">
        <v>4346</v>
      </c>
      <c r="B115" s="41" t="s">
        <v>298</v>
      </c>
      <c r="C115" s="163" t="s">
        <v>328</v>
      </c>
      <c r="D115" s="164" t="s">
        <v>245</v>
      </c>
      <c r="E115" s="164" t="s">
        <v>250</v>
      </c>
      <c r="F115" s="166">
        <v>3</v>
      </c>
      <c r="G115" s="136">
        <v>15.84</v>
      </c>
      <c r="H115" s="153">
        <f t="shared" si="1"/>
        <v>47.52</v>
      </c>
    </row>
    <row r="116" spans="1:8">
      <c r="A116" s="162">
        <v>39997</v>
      </c>
      <c r="B116" s="41" t="s">
        <v>298</v>
      </c>
      <c r="C116" s="163" t="s">
        <v>329</v>
      </c>
      <c r="D116" s="164" t="s">
        <v>245</v>
      </c>
      <c r="E116" s="164" t="s">
        <v>250</v>
      </c>
      <c r="F116" s="166">
        <v>2</v>
      </c>
      <c r="G116" s="136">
        <v>0.47</v>
      </c>
      <c r="H116" s="153">
        <f t="shared" si="1"/>
        <v>0.94</v>
      </c>
    </row>
    <row r="117" spans="1:8">
      <c r="A117" s="162">
        <v>39996</v>
      </c>
      <c r="B117" s="41" t="s">
        <v>298</v>
      </c>
      <c r="C117" s="163" t="s">
        <v>330</v>
      </c>
      <c r="D117" s="164" t="s">
        <v>245</v>
      </c>
      <c r="E117" s="164" t="s">
        <v>28</v>
      </c>
      <c r="F117" s="166">
        <v>0.16639999999999999</v>
      </c>
      <c r="G117" s="136">
        <v>3.02</v>
      </c>
      <c r="H117" s="153">
        <f t="shared" si="1"/>
        <v>0.5</v>
      </c>
    </row>
    <row r="118" spans="1:8">
      <c r="A118" s="334" t="s">
        <v>251</v>
      </c>
      <c r="B118" s="335"/>
      <c r="C118" s="335"/>
      <c r="D118" s="335"/>
      <c r="E118" s="335"/>
      <c r="F118" s="335"/>
      <c r="G118" s="335"/>
      <c r="H118" s="154">
        <f>H105+H106</f>
        <v>99</v>
      </c>
    </row>
    <row r="119" spans="1:8">
      <c r="A119" s="334" t="s">
        <v>252</v>
      </c>
      <c r="B119" s="335"/>
      <c r="C119" s="335"/>
      <c r="D119" s="335"/>
      <c r="E119" s="335"/>
      <c r="F119" s="335"/>
      <c r="G119" s="335"/>
      <c r="H119" s="154">
        <f>H96+H97+H98+H99+H100+H101+H103+H107+H108+H109+H110+H111+H112+H113+H114+H115+H116+H117+H102</f>
        <v>1498.67</v>
      </c>
    </row>
    <row r="120" spans="1:8">
      <c r="A120" s="334" t="s">
        <v>253</v>
      </c>
      <c r="B120" s="335"/>
      <c r="C120" s="335"/>
      <c r="D120" s="335"/>
      <c r="E120" s="335"/>
      <c r="F120" s="335"/>
      <c r="G120" s="335"/>
      <c r="H120" s="154"/>
    </row>
    <row r="121" spans="1:8">
      <c r="A121" s="336" t="s">
        <v>254</v>
      </c>
      <c r="B121" s="337"/>
      <c r="C121" s="337"/>
      <c r="D121" s="337"/>
      <c r="E121" s="337"/>
      <c r="F121" s="337"/>
      <c r="G121" s="337"/>
      <c r="H121" s="155">
        <f>SUM(H118:H120)</f>
        <v>1597.67</v>
      </c>
    </row>
    <row r="122" spans="1:8">
      <c r="A122" s="338" t="s">
        <v>303</v>
      </c>
      <c r="B122" s="339"/>
      <c r="C122" s="339"/>
      <c r="D122" s="339"/>
      <c r="E122" s="339"/>
      <c r="F122" s="339"/>
      <c r="G122" s="339"/>
      <c r="H122" s="340"/>
    </row>
    <row r="123" spans="1:8" ht="26.25" customHeight="1">
      <c r="A123" s="328" t="s">
        <v>331</v>
      </c>
      <c r="B123" s="329"/>
      <c r="C123" s="329"/>
      <c r="D123" s="329"/>
      <c r="E123" s="329"/>
      <c r="F123" s="329"/>
      <c r="G123" s="329"/>
      <c r="H123" s="330"/>
    </row>
    <row r="124" spans="1:8">
      <c r="A124" s="156"/>
      <c r="B124" s="157"/>
      <c r="C124" s="157"/>
      <c r="D124" s="157"/>
      <c r="E124" s="157"/>
      <c r="F124" s="157"/>
      <c r="G124" s="157"/>
      <c r="H124" s="158"/>
    </row>
    <row r="125" spans="1:8">
      <c r="A125" s="328" t="s">
        <v>305</v>
      </c>
      <c r="B125" s="329"/>
      <c r="C125" s="329"/>
      <c r="D125" s="329"/>
      <c r="E125" s="329"/>
      <c r="F125" s="329"/>
      <c r="G125" s="329"/>
      <c r="H125" s="330"/>
    </row>
    <row r="126" spans="1:8" ht="14.4" customHeight="1" thickBot="1">
      <c r="A126" s="331" t="s">
        <v>258</v>
      </c>
      <c r="B126" s="332"/>
      <c r="C126" s="332"/>
      <c r="D126" s="332"/>
      <c r="E126" s="332"/>
      <c r="F126" s="332"/>
      <c r="G126" s="332"/>
      <c r="H126" s="333"/>
    </row>
    <row r="127" spans="1:8" ht="14.4" thickBot="1"/>
    <row r="128" spans="1:8" ht="41.4">
      <c r="A128" s="341" t="s">
        <v>235</v>
      </c>
      <c r="B128" s="342"/>
      <c r="C128" s="122" t="s">
        <v>236</v>
      </c>
      <c r="D128" s="122" t="s">
        <v>237</v>
      </c>
      <c r="E128" s="122" t="s">
        <v>238</v>
      </c>
      <c r="F128" s="123" t="s">
        <v>239</v>
      </c>
      <c r="G128" s="124" t="s">
        <v>240</v>
      </c>
      <c r="H128" s="147" t="s">
        <v>241</v>
      </c>
    </row>
    <row r="129" spans="1:8">
      <c r="A129" s="144" t="s">
        <v>285</v>
      </c>
      <c r="B129" s="127" t="s">
        <v>286</v>
      </c>
      <c r="C129" s="148" t="s">
        <v>117</v>
      </c>
      <c r="D129" s="127"/>
      <c r="E129" s="127" t="s">
        <v>238</v>
      </c>
      <c r="F129" s="129"/>
      <c r="G129" s="130"/>
      <c r="H129" s="131"/>
    </row>
    <row r="130" spans="1:8">
      <c r="A130" s="159">
        <v>88247</v>
      </c>
      <c r="B130" s="41" t="s">
        <v>292</v>
      </c>
      <c r="C130" s="160" t="s">
        <v>318</v>
      </c>
      <c r="D130" s="133" t="s">
        <v>262</v>
      </c>
      <c r="E130" s="159" t="s">
        <v>263</v>
      </c>
      <c r="F130" s="159">
        <v>0.17349999999999999</v>
      </c>
      <c r="G130" s="136">
        <v>21.63</v>
      </c>
      <c r="H130" s="153">
        <f>ROUND(G130*F130,2)</f>
        <v>3.75</v>
      </c>
    </row>
    <row r="131" spans="1:8">
      <c r="A131" s="159">
        <v>88264</v>
      </c>
      <c r="B131" s="41" t="s">
        <v>292</v>
      </c>
      <c r="C131" s="160" t="s">
        <v>319</v>
      </c>
      <c r="D131" s="133" t="s">
        <v>262</v>
      </c>
      <c r="E131" s="159" t="s">
        <v>263</v>
      </c>
      <c r="F131" s="159">
        <v>0.41649999999999998</v>
      </c>
      <c r="G131" s="136">
        <v>25.82</v>
      </c>
      <c r="H131" s="153">
        <f>ROUND(G131*F131,2)</f>
        <v>10.75</v>
      </c>
    </row>
    <row r="132" spans="1:8">
      <c r="A132" s="162">
        <v>3749</v>
      </c>
      <c r="B132" s="41" t="s">
        <v>298</v>
      </c>
      <c r="C132" s="169" t="s">
        <v>332</v>
      </c>
      <c r="D132" s="133" t="s">
        <v>245</v>
      </c>
      <c r="E132" s="164" t="s">
        <v>250</v>
      </c>
      <c r="F132" s="170"/>
      <c r="G132" s="168"/>
      <c r="H132" s="151">
        <f>ROUND(G132*F132,2)</f>
        <v>0</v>
      </c>
    </row>
    <row r="133" spans="1:8" ht="27.6">
      <c r="A133" s="162">
        <v>39374</v>
      </c>
      <c r="B133" s="41" t="s">
        <v>298</v>
      </c>
      <c r="C133" s="169" t="s">
        <v>333</v>
      </c>
      <c r="D133" s="133" t="s">
        <v>245</v>
      </c>
      <c r="E133" s="164" t="s">
        <v>250</v>
      </c>
      <c r="F133" s="170"/>
      <c r="G133" s="168"/>
      <c r="H133" s="151">
        <f>ROUND(G133*F133,2)</f>
        <v>0</v>
      </c>
    </row>
    <row r="134" spans="1:8">
      <c r="A134" s="162"/>
      <c r="B134" s="41" t="s">
        <v>334</v>
      </c>
      <c r="C134" s="169" t="s">
        <v>335</v>
      </c>
      <c r="D134" s="133" t="s">
        <v>245</v>
      </c>
      <c r="E134" s="164" t="s">
        <v>250</v>
      </c>
      <c r="F134" s="171">
        <v>1</v>
      </c>
      <c r="G134" s="136">
        <v>321</v>
      </c>
      <c r="H134" s="153">
        <f>ROUND(G134*F134,2)</f>
        <v>321</v>
      </c>
    </row>
    <row r="135" spans="1:8">
      <c r="A135" s="334" t="s">
        <v>251</v>
      </c>
      <c r="B135" s="335"/>
      <c r="C135" s="335"/>
      <c r="D135" s="335"/>
      <c r="E135" s="335"/>
      <c r="F135" s="335"/>
      <c r="G135" s="335"/>
      <c r="H135" s="154">
        <f>H130+H131</f>
        <v>14.5</v>
      </c>
    </row>
    <row r="136" spans="1:8">
      <c r="A136" s="334" t="s">
        <v>252</v>
      </c>
      <c r="B136" s="335"/>
      <c r="C136" s="335"/>
      <c r="D136" s="335"/>
      <c r="E136" s="335"/>
      <c r="F136" s="335"/>
      <c r="G136" s="335"/>
      <c r="H136" s="154">
        <f>H132+H134</f>
        <v>321</v>
      </c>
    </row>
    <row r="137" spans="1:8">
      <c r="A137" s="334" t="s">
        <v>253</v>
      </c>
      <c r="B137" s="335"/>
      <c r="C137" s="335"/>
      <c r="D137" s="335"/>
      <c r="E137" s="335"/>
      <c r="F137" s="335"/>
      <c r="G137" s="335"/>
      <c r="H137" s="154"/>
    </row>
    <row r="138" spans="1:8">
      <c r="A138" s="336" t="s">
        <v>254</v>
      </c>
      <c r="B138" s="337"/>
      <c r="C138" s="337"/>
      <c r="D138" s="337"/>
      <c r="E138" s="337"/>
      <c r="F138" s="337"/>
      <c r="G138" s="337"/>
      <c r="H138" s="155">
        <f>SUM(H135:H137)</f>
        <v>335.5</v>
      </c>
    </row>
    <row r="139" spans="1:8">
      <c r="A139" s="338" t="s">
        <v>303</v>
      </c>
      <c r="B139" s="339"/>
      <c r="C139" s="339"/>
      <c r="D139" s="339"/>
      <c r="E139" s="339"/>
      <c r="F139" s="339"/>
      <c r="G139" s="339"/>
      <c r="H139" s="340"/>
    </row>
    <row r="140" spans="1:8" ht="27" customHeight="1">
      <c r="A140" s="328" t="s">
        <v>336</v>
      </c>
      <c r="B140" s="329"/>
      <c r="C140" s="329"/>
      <c r="D140" s="329"/>
      <c r="E140" s="329"/>
      <c r="F140" s="329"/>
      <c r="G140" s="329"/>
      <c r="H140" s="330"/>
    </row>
    <row r="141" spans="1:8">
      <c r="A141" s="156"/>
      <c r="B141" s="157"/>
      <c r="C141" s="157"/>
      <c r="D141" s="157"/>
      <c r="E141" s="157"/>
      <c r="F141" s="157"/>
      <c r="G141" s="157"/>
      <c r="H141" s="158"/>
    </row>
    <row r="142" spans="1:8">
      <c r="A142" s="328" t="s">
        <v>305</v>
      </c>
      <c r="B142" s="329"/>
      <c r="C142" s="329"/>
      <c r="D142" s="329"/>
      <c r="E142" s="329"/>
      <c r="F142" s="329"/>
      <c r="G142" s="329"/>
      <c r="H142" s="330"/>
    </row>
    <row r="143" spans="1:8" ht="14.4" customHeight="1" thickBot="1">
      <c r="A143" s="331" t="s">
        <v>258</v>
      </c>
      <c r="B143" s="332"/>
      <c r="C143" s="332"/>
      <c r="D143" s="332"/>
      <c r="E143" s="332"/>
      <c r="F143" s="332"/>
      <c r="G143" s="332"/>
      <c r="H143" s="333"/>
    </row>
  </sheetData>
  <mergeCells count="74">
    <mergeCell ref="A8:B8"/>
    <mergeCell ref="A1:H1"/>
    <mergeCell ref="A2:H2"/>
    <mergeCell ref="A4:H4"/>
    <mergeCell ref="A5:H5"/>
    <mergeCell ref="A6:B6"/>
    <mergeCell ref="A23:B23"/>
    <mergeCell ref="A11:B11"/>
    <mergeCell ref="A12:G12"/>
    <mergeCell ref="A13:G13"/>
    <mergeCell ref="A14:G14"/>
    <mergeCell ref="A15:G15"/>
    <mergeCell ref="A16:H16"/>
    <mergeCell ref="A17:H17"/>
    <mergeCell ref="A18:H18"/>
    <mergeCell ref="A19:H19"/>
    <mergeCell ref="A20:H20"/>
    <mergeCell ref="A21:H21"/>
    <mergeCell ref="A50:G50"/>
    <mergeCell ref="A35:G35"/>
    <mergeCell ref="A36:G36"/>
    <mergeCell ref="A37:G37"/>
    <mergeCell ref="A38:G38"/>
    <mergeCell ref="A39:H39"/>
    <mergeCell ref="A40:H40"/>
    <mergeCell ref="A41:H41"/>
    <mergeCell ref="A42:H42"/>
    <mergeCell ref="A43:H43"/>
    <mergeCell ref="A45:B45"/>
    <mergeCell ref="A49:G49"/>
    <mergeCell ref="A70:G70"/>
    <mergeCell ref="A51:G51"/>
    <mergeCell ref="A52:G52"/>
    <mergeCell ref="A53:H53"/>
    <mergeCell ref="A54:H54"/>
    <mergeCell ref="A55:H55"/>
    <mergeCell ref="A56:H56"/>
    <mergeCell ref="A57:H57"/>
    <mergeCell ref="A58:H58"/>
    <mergeCell ref="A60:B60"/>
    <mergeCell ref="A68:G68"/>
    <mergeCell ref="A69:G69"/>
    <mergeCell ref="A89:H89"/>
    <mergeCell ref="A71:G71"/>
    <mergeCell ref="A72:H72"/>
    <mergeCell ref="A73:H73"/>
    <mergeCell ref="A75:H75"/>
    <mergeCell ref="A76:H76"/>
    <mergeCell ref="A78:B78"/>
    <mergeCell ref="A84:G84"/>
    <mergeCell ref="A85:G85"/>
    <mergeCell ref="A86:G86"/>
    <mergeCell ref="A87:G87"/>
    <mergeCell ref="A88:H88"/>
    <mergeCell ref="A128:B128"/>
    <mergeCell ref="A91:H91"/>
    <mergeCell ref="A92:H92"/>
    <mergeCell ref="A94:B94"/>
    <mergeCell ref="A118:G118"/>
    <mergeCell ref="A119:G119"/>
    <mergeCell ref="A120:G120"/>
    <mergeCell ref="A121:G121"/>
    <mergeCell ref="A122:H122"/>
    <mergeCell ref="A123:H123"/>
    <mergeCell ref="A125:H125"/>
    <mergeCell ref="A126:H126"/>
    <mergeCell ref="A142:H142"/>
    <mergeCell ref="A143:H143"/>
    <mergeCell ref="A135:G135"/>
    <mergeCell ref="A136:G136"/>
    <mergeCell ref="A137:G137"/>
    <mergeCell ref="A138:G138"/>
    <mergeCell ref="A139:H139"/>
    <mergeCell ref="A140:H140"/>
  </mergeCells>
  <pageMargins left="0.511811024" right="0.511811024" top="0.78740157499999996" bottom="0.78740157499999996" header="0.31496062000000002" footer="0.31496062000000002"/>
  <pageSetup paperSize="9" scale="7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DA319-9F49-4782-BB58-5D40989D321C}">
  <dimension ref="A1:T59"/>
  <sheetViews>
    <sheetView view="pageBreakPreview" zoomScaleNormal="100" zoomScaleSheetLayoutView="100" workbookViewId="0">
      <selection activeCell="A3" sqref="A3:H3"/>
    </sheetView>
  </sheetViews>
  <sheetFormatPr defaultColWidth="9.44140625" defaultRowHeight="13.8"/>
  <cols>
    <col min="1" max="1" width="2" style="172" customWidth="1"/>
    <col min="2" max="2" width="5.88671875" style="172" customWidth="1"/>
    <col min="3" max="3" width="48.6640625" style="172" customWidth="1"/>
    <col min="4" max="4" width="12.6640625" style="172" customWidth="1"/>
    <col min="5" max="9" width="11.6640625" style="172" customWidth="1"/>
    <col min="10" max="10" width="11.88671875" style="172" customWidth="1"/>
    <col min="11" max="11" width="10.33203125" style="172" bestFit="1" customWidth="1"/>
    <col min="12" max="254" width="9.44140625" style="172"/>
    <col min="255" max="255" width="2" style="172" customWidth="1"/>
    <col min="256" max="256" width="5.88671875" style="172" customWidth="1"/>
    <col min="257" max="257" width="48.6640625" style="172" customWidth="1"/>
    <col min="258" max="258" width="12.6640625" style="172" customWidth="1"/>
    <col min="259" max="262" width="11.6640625" style="172" customWidth="1"/>
    <col min="263" max="263" width="11.88671875" style="172" customWidth="1"/>
    <col min="264" max="264" width="11.33203125" style="172" customWidth="1"/>
    <col min="265" max="265" width="11.6640625" style="172" customWidth="1"/>
    <col min="266" max="266" width="11.88671875" style="172" customWidth="1"/>
    <col min="267" max="267" width="10.33203125" style="172" bestFit="1" customWidth="1"/>
    <col min="268" max="510" width="9.44140625" style="172"/>
    <col min="511" max="511" width="2" style="172" customWidth="1"/>
    <col min="512" max="512" width="5.88671875" style="172" customWidth="1"/>
    <col min="513" max="513" width="48.6640625" style="172" customWidth="1"/>
    <col min="514" max="514" width="12.6640625" style="172" customWidth="1"/>
    <col min="515" max="518" width="11.6640625" style="172" customWidth="1"/>
    <col min="519" max="519" width="11.88671875" style="172" customWidth="1"/>
    <col min="520" max="520" width="11.33203125" style="172" customWidth="1"/>
    <col min="521" max="521" width="11.6640625" style="172" customWidth="1"/>
    <col min="522" max="522" width="11.88671875" style="172" customWidth="1"/>
    <col min="523" max="523" width="10.33203125" style="172" bestFit="1" customWidth="1"/>
    <col min="524" max="766" width="9.44140625" style="172"/>
    <col min="767" max="767" width="2" style="172" customWidth="1"/>
    <col min="768" max="768" width="5.88671875" style="172" customWidth="1"/>
    <col min="769" max="769" width="48.6640625" style="172" customWidth="1"/>
    <col min="770" max="770" width="12.6640625" style="172" customWidth="1"/>
    <col min="771" max="774" width="11.6640625" style="172" customWidth="1"/>
    <col min="775" max="775" width="11.88671875" style="172" customWidth="1"/>
    <col min="776" max="776" width="11.33203125" style="172" customWidth="1"/>
    <col min="777" max="777" width="11.6640625" style="172" customWidth="1"/>
    <col min="778" max="778" width="11.88671875" style="172" customWidth="1"/>
    <col min="779" max="779" width="10.33203125" style="172" bestFit="1" customWidth="1"/>
    <col min="780" max="1022" width="9.44140625" style="172"/>
    <col min="1023" max="1023" width="2" style="172" customWidth="1"/>
    <col min="1024" max="1024" width="5.88671875" style="172" customWidth="1"/>
    <col min="1025" max="1025" width="48.6640625" style="172" customWidth="1"/>
    <col min="1026" max="1026" width="12.6640625" style="172" customWidth="1"/>
    <col min="1027" max="1030" width="11.6640625" style="172" customWidth="1"/>
    <col min="1031" max="1031" width="11.88671875" style="172" customWidth="1"/>
    <col min="1032" max="1032" width="11.33203125" style="172" customWidth="1"/>
    <col min="1033" max="1033" width="11.6640625" style="172" customWidth="1"/>
    <col min="1034" max="1034" width="11.88671875" style="172" customWidth="1"/>
    <col min="1035" max="1035" width="10.33203125" style="172" bestFit="1" customWidth="1"/>
    <col min="1036" max="1278" width="9.44140625" style="172"/>
    <col min="1279" max="1279" width="2" style="172" customWidth="1"/>
    <col min="1280" max="1280" width="5.88671875" style="172" customWidth="1"/>
    <col min="1281" max="1281" width="48.6640625" style="172" customWidth="1"/>
    <col min="1282" max="1282" width="12.6640625" style="172" customWidth="1"/>
    <col min="1283" max="1286" width="11.6640625" style="172" customWidth="1"/>
    <col min="1287" max="1287" width="11.88671875" style="172" customWidth="1"/>
    <col min="1288" max="1288" width="11.33203125" style="172" customWidth="1"/>
    <col min="1289" max="1289" width="11.6640625" style="172" customWidth="1"/>
    <col min="1290" max="1290" width="11.88671875" style="172" customWidth="1"/>
    <col min="1291" max="1291" width="10.33203125" style="172" bestFit="1" customWidth="1"/>
    <col min="1292" max="1534" width="9.44140625" style="172"/>
    <col min="1535" max="1535" width="2" style="172" customWidth="1"/>
    <col min="1536" max="1536" width="5.88671875" style="172" customWidth="1"/>
    <col min="1537" max="1537" width="48.6640625" style="172" customWidth="1"/>
    <col min="1538" max="1538" width="12.6640625" style="172" customWidth="1"/>
    <col min="1539" max="1542" width="11.6640625" style="172" customWidth="1"/>
    <col min="1543" max="1543" width="11.88671875" style="172" customWidth="1"/>
    <col min="1544" max="1544" width="11.33203125" style="172" customWidth="1"/>
    <col min="1545" max="1545" width="11.6640625" style="172" customWidth="1"/>
    <col min="1546" max="1546" width="11.88671875" style="172" customWidth="1"/>
    <col min="1547" max="1547" width="10.33203125" style="172" bestFit="1" customWidth="1"/>
    <col min="1548" max="1790" width="9.44140625" style="172"/>
    <col min="1791" max="1791" width="2" style="172" customWidth="1"/>
    <col min="1792" max="1792" width="5.88671875" style="172" customWidth="1"/>
    <col min="1793" max="1793" width="48.6640625" style="172" customWidth="1"/>
    <col min="1794" max="1794" width="12.6640625" style="172" customWidth="1"/>
    <col min="1795" max="1798" width="11.6640625" style="172" customWidth="1"/>
    <col min="1799" max="1799" width="11.88671875" style="172" customWidth="1"/>
    <col min="1800" max="1800" width="11.33203125" style="172" customWidth="1"/>
    <col min="1801" max="1801" width="11.6640625" style="172" customWidth="1"/>
    <col min="1802" max="1802" width="11.88671875" style="172" customWidth="1"/>
    <col min="1803" max="1803" width="10.33203125" style="172" bestFit="1" customWidth="1"/>
    <col min="1804" max="2046" width="9.44140625" style="172"/>
    <col min="2047" max="2047" width="2" style="172" customWidth="1"/>
    <col min="2048" max="2048" width="5.88671875" style="172" customWidth="1"/>
    <col min="2049" max="2049" width="48.6640625" style="172" customWidth="1"/>
    <col min="2050" max="2050" width="12.6640625" style="172" customWidth="1"/>
    <col min="2051" max="2054" width="11.6640625" style="172" customWidth="1"/>
    <col min="2055" max="2055" width="11.88671875" style="172" customWidth="1"/>
    <col min="2056" max="2056" width="11.33203125" style="172" customWidth="1"/>
    <col min="2057" max="2057" width="11.6640625" style="172" customWidth="1"/>
    <col min="2058" max="2058" width="11.88671875" style="172" customWidth="1"/>
    <col min="2059" max="2059" width="10.33203125" style="172" bestFit="1" customWidth="1"/>
    <col min="2060" max="2302" width="9.44140625" style="172"/>
    <col min="2303" max="2303" width="2" style="172" customWidth="1"/>
    <col min="2304" max="2304" width="5.88671875" style="172" customWidth="1"/>
    <col min="2305" max="2305" width="48.6640625" style="172" customWidth="1"/>
    <col min="2306" max="2306" width="12.6640625" style="172" customWidth="1"/>
    <col min="2307" max="2310" width="11.6640625" style="172" customWidth="1"/>
    <col min="2311" max="2311" width="11.88671875" style="172" customWidth="1"/>
    <col min="2312" max="2312" width="11.33203125" style="172" customWidth="1"/>
    <col min="2313" max="2313" width="11.6640625" style="172" customWidth="1"/>
    <col min="2314" max="2314" width="11.88671875" style="172" customWidth="1"/>
    <col min="2315" max="2315" width="10.33203125" style="172" bestFit="1" customWidth="1"/>
    <col min="2316" max="2558" width="9.44140625" style="172"/>
    <col min="2559" max="2559" width="2" style="172" customWidth="1"/>
    <col min="2560" max="2560" width="5.88671875" style="172" customWidth="1"/>
    <col min="2561" max="2561" width="48.6640625" style="172" customWidth="1"/>
    <col min="2562" max="2562" width="12.6640625" style="172" customWidth="1"/>
    <col min="2563" max="2566" width="11.6640625" style="172" customWidth="1"/>
    <col min="2567" max="2567" width="11.88671875" style="172" customWidth="1"/>
    <col min="2568" max="2568" width="11.33203125" style="172" customWidth="1"/>
    <col min="2569" max="2569" width="11.6640625" style="172" customWidth="1"/>
    <col min="2570" max="2570" width="11.88671875" style="172" customWidth="1"/>
    <col min="2571" max="2571" width="10.33203125" style="172" bestFit="1" customWidth="1"/>
    <col min="2572" max="2814" width="9.44140625" style="172"/>
    <col min="2815" max="2815" width="2" style="172" customWidth="1"/>
    <col min="2816" max="2816" width="5.88671875" style="172" customWidth="1"/>
    <col min="2817" max="2817" width="48.6640625" style="172" customWidth="1"/>
    <col min="2818" max="2818" width="12.6640625" style="172" customWidth="1"/>
    <col min="2819" max="2822" width="11.6640625" style="172" customWidth="1"/>
    <col min="2823" max="2823" width="11.88671875" style="172" customWidth="1"/>
    <col min="2824" max="2824" width="11.33203125" style="172" customWidth="1"/>
    <col min="2825" max="2825" width="11.6640625" style="172" customWidth="1"/>
    <col min="2826" max="2826" width="11.88671875" style="172" customWidth="1"/>
    <col min="2827" max="2827" width="10.33203125" style="172" bestFit="1" customWidth="1"/>
    <col min="2828" max="3070" width="9.44140625" style="172"/>
    <col min="3071" max="3071" width="2" style="172" customWidth="1"/>
    <col min="3072" max="3072" width="5.88671875" style="172" customWidth="1"/>
    <col min="3073" max="3073" width="48.6640625" style="172" customWidth="1"/>
    <col min="3074" max="3074" width="12.6640625" style="172" customWidth="1"/>
    <col min="3075" max="3078" width="11.6640625" style="172" customWidth="1"/>
    <col min="3079" max="3079" width="11.88671875" style="172" customWidth="1"/>
    <col min="3080" max="3080" width="11.33203125" style="172" customWidth="1"/>
    <col min="3081" max="3081" width="11.6640625" style="172" customWidth="1"/>
    <col min="3082" max="3082" width="11.88671875" style="172" customWidth="1"/>
    <col min="3083" max="3083" width="10.33203125" style="172" bestFit="1" customWidth="1"/>
    <col min="3084" max="3326" width="9.44140625" style="172"/>
    <col min="3327" max="3327" width="2" style="172" customWidth="1"/>
    <col min="3328" max="3328" width="5.88671875" style="172" customWidth="1"/>
    <col min="3329" max="3329" width="48.6640625" style="172" customWidth="1"/>
    <col min="3330" max="3330" width="12.6640625" style="172" customWidth="1"/>
    <col min="3331" max="3334" width="11.6640625" style="172" customWidth="1"/>
    <col min="3335" max="3335" width="11.88671875" style="172" customWidth="1"/>
    <col min="3336" max="3336" width="11.33203125" style="172" customWidth="1"/>
    <col min="3337" max="3337" width="11.6640625" style="172" customWidth="1"/>
    <col min="3338" max="3338" width="11.88671875" style="172" customWidth="1"/>
    <col min="3339" max="3339" width="10.33203125" style="172" bestFit="1" customWidth="1"/>
    <col min="3340" max="3582" width="9.44140625" style="172"/>
    <col min="3583" max="3583" width="2" style="172" customWidth="1"/>
    <col min="3584" max="3584" width="5.88671875" style="172" customWidth="1"/>
    <col min="3585" max="3585" width="48.6640625" style="172" customWidth="1"/>
    <col min="3586" max="3586" width="12.6640625" style="172" customWidth="1"/>
    <col min="3587" max="3590" width="11.6640625" style="172" customWidth="1"/>
    <col min="3591" max="3591" width="11.88671875" style="172" customWidth="1"/>
    <col min="3592" max="3592" width="11.33203125" style="172" customWidth="1"/>
    <col min="3593" max="3593" width="11.6640625" style="172" customWidth="1"/>
    <col min="3594" max="3594" width="11.88671875" style="172" customWidth="1"/>
    <col min="3595" max="3595" width="10.33203125" style="172" bestFit="1" customWidth="1"/>
    <col min="3596" max="3838" width="9.44140625" style="172"/>
    <col min="3839" max="3839" width="2" style="172" customWidth="1"/>
    <col min="3840" max="3840" width="5.88671875" style="172" customWidth="1"/>
    <col min="3841" max="3841" width="48.6640625" style="172" customWidth="1"/>
    <col min="3842" max="3842" width="12.6640625" style="172" customWidth="1"/>
    <col min="3843" max="3846" width="11.6640625" style="172" customWidth="1"/>
    <col min="3847" max="3847" width="11.88671875" style="172" customWidth="1"/>
    <col min="3848" max="3848" width="11.33203125" style="172" customWidth="1"/>
    <col min="3849" max="3849" width="11.6640625" style="172" customWidth="1"/>
    <col min="3850" max="3850" width="11.88671875" style="172" customWidth="1"/>
    <col min="3851" max="3851" width="10.33203125" style="172" bestFit="1" customWidth="1"/>
    <col min="3852" max="4094" width="9.44140625" style="172"/>
    <col min="4095" max="4095" width="2" style="172" customWidth="1"/>
    <col min="4096" max="4096" width="5.88671875" style="172" customWidth="1"/>
    <col min="4097" max="4097" width="48.6640625" style="172" customWidth="1"/>
    <col min="4098" max="4098" width="12.6640625" style="172" customWidth="1"/>
    <col min="4099" max="4102" width="11.6640625" style="172" customWidth="1"/>
    <col min="4103" max="4103" width="11.88671875" style="172" customWidth="1"/>
    <col min="4104" max="4104" width="11.33203125" style="172" customWidth="1"/>
    <col min="4105" max="4105" width="11.6640625" style="172" customWidth="1"/>
    <col min="4106" max="4106" width="11.88671875" style="172" customWidth="1"/>
    <col min="4107" max="4107" width="10.33203125" style="172" bestFit="1" customWidth="1"/>
    <col min="4108" max="4350" width="9.44140625" style="172"/>
    <col min="4351" max="4351" width="2" style="172" customWidth="1"/>
    <col min="4352" max="4352" width="5.88671875" style="172" customWidth="1"/>
    <col min="4353" max="4353" width="48.6640625" style="172" customWidth="1"/>
    <col min="4354" max="4354" width="12.6640625" style="172" customWidth="1"/>
    <col min="4355" max="4358" width="11.6640625" style="172" customWidth="1"/>
    <col min="4359" max="4359" width="11.88671875" style="172" customWidth="1"/>
    <col min="4360" max="4360" width="11.33203125" style="172" customWidth="1"/>
    <col min="4361" max="4361" width="11.6640625" style="172" customWidth="1"/>
    <col min="4362" max="4362" width="11.88671875" style="172" customWidth="1"/>
    <col min="4363" max="4363" width="10.33203125" style="172" bestFit="1" customWidth="1"/>
    <col min="4364" max="4606" width="9.44140625" style="172"/>
    <col min="4607" max="4607" width="2" style="172" customWidth="1"/>
    <col min="4608" max="4608" width="5.88671875" style="172" customWidth="1"/>
    <col min="4609" max="4609" width="48.6640625" style="172" customWidth="1"/>
    <col min="4610" max="4610" width="12.6640625" style="172" customWidth="1"/>
    <col min="4611" max="4614" width="11.6640625" style="172" customWidth="1"/>
    <col min="4615" max="4615" width="11.88671875" style="172" customWidth="1"/>
    <col min="4616" max="4616" width="11.33203125" style="172" customWidth="1"/>
    <col min="4617" max="4617" width="11.6640625" style="172" customWidth="1"/>
    <col min="4618" max="4618" width="11.88671875" style="172" customWidth="1"/>
    <col min="4619" max="4619" width="10.33203125" style="172" bestFit="1" customWidth="1"/>
    <col min="4620" max="4862" width="9.44140625" style="172"/>
    <col min="4863" max="4863" width="2" style="172" customWidth="1"/>
    <col min="4864" max="4864" width="5.88671875" style="172" customWidth="1"/>
    <col min="4865" max="4865" width="48.6640625" style="172" customWidth="1"/>
    <col min="4866" max="4866" width="12.6640625" style="172" customWidth="1"/>
    <col min="4867" max="4870" width="11.6640625" style="172" customWidth="1"/>
    <col min="4871" max="4871" width="11.88671875" style="172" customWidth="1"/>
    <col min="4872" max="4872" width="11.33203125" style="172" customWidth="1"/>
    <col min="4873" max="4873" width="11.6640625" style="172" customWidth="1"/>
    <col min="4874" max="4874" width="11.88671875" style="172" customWidth="1"/>
    <col min="4875" max="4875" width="10.33203125" style="172" bestFit="1" customWidth="1"/>
    <col min="4876" max="5118" width="9.44140625" style="172"/>
    <col min="5119" max="5119" width="2" style="172" customWidth="1"/>
    <col min="5120" max="5120" width="5.88671875" style="172" customWidth="1"/>
    <col min="5121" max="5121" width="48.6640625" style="172" customWidth="1"/>
    <col min="5122" max="5122" width="12.6640625" style="172" customWidth="1"/>
    <col min="5123" max="5126" width="11.6640625" style="172" customWidth="1"/>
    <col min="5127" max="5127" width="11.88671875" style="172" customWidth="1"/>
    <col min="5128" max="5128" width="11.33203125" style="172" customWidth="1"/>
    <col min="5129" max="5129" width="11.6640625" style="172" customWidth="1"/>
    <col min="5130" max="5130" width="11.88671875" style="172" customWidth="1"/>
    <col min="5131" max="5131" width="10.33203125" style="172" bestFit="1" customWidth="1"/>
    <col min="5132" max="5374" width="9.44140625" style="172"/>
    <col min="5375" max="5375" width="2" style="172" customWidth="1"/>
    <col min="5376" max="5376" width="5.88671875" style="172" customWidth="1"/>
    <col min="5377" max="5377" width="48.6640625" style="172" customWidth="1"/>
    <col min="5378" max="5378" width="12.6640625" style="172" customWidth="1"/>
    <col min="5379" max="5382" width="11.6640625" style="172" customWidth="1"/>
    <col min="5383" max="5383" width="11.88671875" style="172" customWidth="1"/>
    <col min="5384" max="5384" width="11.33203125" style="172" customWidth="1"/>
    <col min="5385" max="5385" width="11.6640625" style="172" customWidth="1"/>
    <col min="5386" max="5386" width="11.88671875" style="172" customWidth="1"/>
    <col min="5387" max="5387" width="10.33203125" style="172" bestFit="1" customWidth="1"/>
    <col min="5388" max="5630" width="9.44140625" style="172"/>
    <col min="5631" max="5631" width="2" style="172" customWidth="1"/>
    <col min="5632" max="5632" width="5.88671875" style="172" customWidth="1"/>
    <col min="5633" max="5633" width="48.6640625" style="172" customWidth="1"/>
    <col min="5634" max="5634" width="12.6640625" style="172" customWidth="1"/>
    <col min="5635" max="5638" width="11.6640625" style="172" customWidth="1"/>
    <col min="5639" max="5639" width="11.88671875" style="172" customWidth="1"/>
    <col min="5640" max="5640" width="11.33203125" style="172" customWidth="1"/>
    <col min="5641" max="5641" width="11.6640625" style="172" customWidth="1"/>
    <col min="5642" max="5642" width="11.88671875" style="172" customWidth="1"/>
    <col min="5643" max="5643" width="10.33203125" style="172" bestFit="1" customWidth="1"/>
    <col min="5644" max="5886" width="9.44140625" style="172"/>
    <col min="5887" max="5887" width="2" style="172" customWidth="1"/>
    <col min="5888" max="5888" width="5.88671875" style="172" customWidth="1"/>
    <col min="5889" max="5889" width="48.6640625" style="172" customWidth="1"/>
    <col min="5890" max="5890" width="12.6640625" style="172" customWidth="1"/>
    <col min="5891" max="5894" width="11.6640625" style="172" customWidth="1"/>
    <col min="5895" max="5895" width="11.88671875" style="172" customWidth="1"/>
    <col min="5896" max="5896" width="11.33203125" style="172" customWidth="1"/>
    <col min="5897" max="5897" width="11.6640625" style="172" customWidth="1"/>
    <col min="5898" max="5898" width="11.88671875" style="172" customWidth="1"/>
    <col min="5899" max="5899" width="10.33203125" style="172" bestFit="1" customWidth="1"/>
    <col min="5900" max="6142" width="9.44140625" style="172"/>
    <col min="6143" max="6143" width="2" style="172" customWidth="1"/>
    <col min="6144" max="6144" width="5.88671875" style="172" customWidth="1"/>
    <col min="6145" max="6145" width="48.6640625" style="172" customWidth="1"/>
    <col min="6146" max="6146" width="12.6640625" style="172" customWidth="1"/>
    <col min="6147" max="6150" width="11.6640625" style="172" customWidth="1"/>
    <col min="6151" max="6151" width="11.88671875" style="172" customWidth="1"/>
    <col min="6152" max="6152" width="11.33203125" style="172" customWidth="1"/>
    <col min="6153" max="6153" width="11.6640625" style="172" customWidth="1"/>
    <col min="6154" max="6154" width="11.88671875" style="172" customWidth="1"/>
    <col min="6155" max="6155" width="10.33203125" style="172" bestFit="1" customWidth="1"/>
    <col min="6156" max="6398" width="9.44140625" style="172"/>
    <col min="6399" max="6399" width="2" style="172" customWidth="1"/>
    <col min="6400" max="6400" width="5.88671875" style="172" customWidth="1"/>
    <col min="6401" max="6401" width="48.6640625" style="172" customWidth="1"/>
    <col min="6402" max="6402" width="12.6640625" style="172" customWidth="1"/>
    <col min="6403" max="6406" width="11.6640625" style="172" customWidth="1"/>
    <col min="6407" max="6407" width="11.88671875" style="172" customWidth="1"/>
    <col min="6408" max="6408" width="11.33203125" style="172" customWidth="1"/>
    <col min="6409" max="6409" width="11.6640625" style="172" customWidth="1"/>
    <col min="6410" max="6410" width="11.88671875" style="172" customWidth="1"/>
    <col min="6411" max="6411" width="10.33203125" style="172" bestFit="1" customWidth="1"/>
    <col min="6412" max="6654" width="9.44140625" style="172"/>
    <col min="6655" max="6655" width="2" style="172" customWidth="1"/>
    <col min="6656" max="6656" width="5.88671875" style="172" customWidth="1"/>
    <col min="6657" max="6657" width="48.6640625" style="172" customWidth="1"/>
    <col min="6658" max="6658" width="12.6640625" style="172" customWidth="1"/>
    <col min="6659" max="6662" width="11.6640625" style="172" customWidth="1"/>
    <col min="6663" max="6663" width="11.88671875" style="172" customWidth="1"/>
    <col min="6664" max="6664" width="11.33203125" style="172" customWidth="1"/>
    <col min="6665" max="6665" width="11.6640625" style="172" customWidth="1"/>
    <col min="6666" max="6666" width="11.88671875" style="172" customWidth="1"/>
    <col min="6667" max="6667" width="10.33203125" style="172" bestFit="1" customWidth="1"/>
    <col min="6668" max="6910" width="9.44140625" style="172"/>
    <col min="6911" max="6911" width="2" style="172" customWidth="1"/>
    <col min="6912" max="6912" width="5.88671875" style="172" customWidth="1"/>
    <col min="6913" max="6913" width="48.6640625" style="172" customWidth="1"/>
    <col min="6914" max="6914" width="12.6640625" style="172" customWidth="1"/>
    <col min="6915" max="6918" width="11.6640625" style="172" customWidth="1"/>
    <col min="6919" max="6919" width="11.88671875" style="172" customWidth="1"/>
    <col min="6920" max="6920" width="11.33203125" style="172" customWidth="1"/>
    <col min="6921" max="6921" width="11.6640625" style="172" customWidth="1"/>
    <col min="6922" max="6922" width="11.88671875" style="172" customWidth="1"/>
    <col min="6923" max="6923" width="10.33203125" style="172" bestFit="1" customWidth="1"/>
    <col min="6924" max="7166" width="9.44140625" style="172"/>
    <col min="7167" max="7167" width="2" style="172" customWidth="1"/>
    <col min="7168" max="7168" width="5.88671875" style="172" customWidth="1"/>
    <col min="7169" max="7169" width="48.6640625" style="172" customWidth="1"/>
    <col min="7170" max="7170" width="12.6640625" style="172" customWidth="1"/>
    <col min="7171" max="7174" width="11.6640625" style="172" customWidth="1"/>
    <col min="7175" max="7175" width="11.88671875" style="172" customWidth="1"/>
    <col min="7176" max="7176" width="11.33203125" style="172" customWidth="1"/>
    <col min="7177" max="7177" width="11.6640625" style="172" customWidth="1"/>
    <col min="7178" max="7178" width="11.88671875" style="172" customWidth="1"/>
    <col min="7179" max="7179" width="10.33203125" style="172" bestFit="1" customWidth="1"/>
    <col min="7180" max="7422" width="9.44140625" style="172"/>
    <col min="7423" max="7423" width="2" style="172" customWidth="1"/>
    <col min="7424" max="7424" width="5.88671875" style="172" customWidth="1"/>
    <col min="7425" max="7425" width="48.6640625" style="172" customWidth="1"/>
    <col min="7426" max="7426" width="12.6640625" style="172" customWidth="1"/>
    <col min="7427" max="7430" width="11.6640625" style="172" customWidth="1"/>
    <col min="7431" max="7431" width="11.88671875" style="172" customWidth="1"/>
    <col min="7432" max="7432" width="11.33203125" style="172" customWidth="1"/>
    <col min="7433" max="7433" width="11.6640625" style="172" customWidth="1"/>
    <col min="7434" max="7434" width="11.88671875" style="172" customWidth="1"/>
    <col min="7435" max="7435" width="10.33203125" style="172" bestFit="1" customWidth="1"/>
    <col min="7436" max="7678" width="9.44140625" style="172"/>
    <col min="7679" max="7679" width="2" style="172" customWidth="1"/>
    <col min="7680" max="7680" width="5.88671875" style="172" customWidth="1"/>
    <col min="7681" max="7681" width="48.6640625" style="172" customWidth="1"/>
    <col min="7682" max="7682" width="12.6640625" style="172" customWidth="1"/>
    <col min="7683" max="7686" width="11.6640625" style="172" customWidth="1"/>
    <col min="7687" max="7687" width="11.88671875" style="172" customWidth="1"/>
    <col min="7688" max="7688" width="11.33203125" style="172" customWidth="1"/>
    <col min="7689" max="7689" width="11.6640625" style="172" customWidth="1"/>
    <col min="7690" max="7690" width="11.88671875" style="172" customWidth="1"/>
    <col min="7691" max="7691" width="10.33203125" style="172" bestFit="1" customWidth="1"/>
    <col min="7692" max="7934" width="9.44140625" style="172"/>
    <col min="7935" max="7935" width="2" style="172" customWidth="1"/>
    <col min="7936" max="7936" width="5.88671875" style="172" customWidth="1"/>
    <col min="7937" max="7937" width="48.6640625" style="172" customWidth="1"/>
    <col min="7938" max="7938" width="12.6640625" style="172" customWidth="1"/>
    <col min="7939" max="7942" width="11.6640625" style="172" customWidth="1"/>
    <col min="7943" max="7943" width="11.88671875" style="172" customWidth="1"/>
    <col min="7944" max="7944" width="11.33203125" style="172" customWidth="1"/>
    <col min="7945" max="7945" width="11.6640625" style="172" customWidth="1"/>
    <col min="7946" max="7946" width="11.88671875" style="172" customWidth="1"/>
    <col min="7947" max="7947" width="10.33203125" style="172" bestFit="1" customWidth="1"/>
    <col min="7948" max="8190" width="9.44140625" style="172"/>
    <col min="8191" max="8191" width="2" style="172" customWidth="1"/>
    <col min="8192" max="8192" width="5.88671875" style="172" customWidth="1"/>
    <col min="8193" max="8193" width="48.6640625" style="172" customWidth="1"/>
    <col min="8194" max="8194" width="12.6640625" style="172" customWidth="1"/>
    <col min="8195" max="8198" width="11.6640625" style="172" customWidth="1"/>
    <col min="8199" max="8199" width="11.88671875" style="172" customWidth="1"/>
    <col min="8200" max="8200" width="11.33203125" style="172" customWidth="1"/>
    <col min="8201" max="8201" width="11.6640625" style="172" customWidth="1"/>
    <col min="8202" max="8202" width="11.88671875" style="172" customWidth="1"/>
    <col min="8203" max="8203" width="10.33203125" style="172" bestFit="1" customWidth="1"/>
    <col min="8204" max="8446" width="9.44140625" style="172"/>
    <col min="8447" max="8447" width="2" style="172" customWidth="1"/>
    <col min="8448" max="8448" width="5.88671875" style="172" customWidth="1"/>
    <col min="8449" max="8449" width="48.6640625" style="172" customWidth="1"/>
    <col min="8450" max="8450" width="12.6640625" style="172" customWidth="1"/>
    <col min="8451" max="8454" width="11.6640625" style="172" customWidth="1"/>
    <col min="8455" max="8455" width="11.88671875" style="172" customWidth="1"/>
    <col min="8456" max="8456" width="11.33203125" style="172" customWidth="1"/>
    <col min="8457" max="8457" width="11.6640625" style="172" customWidth="1"/>
    <col min="8458" max="8458" width="11.88671875" style="172" customWidth="1"/>
    <col min="8459" max="8459" width="10.33203125" style="172" bestFit="1" customWidth="1"/>
    <col min="8460" max="8702" width="9.44140625" style="172"/>
    <col min="8703" max="8703" width="2" style="172" customWidth="1"/>
    <col min="8704" max="8704" width="5.88671875" style="172" customWidth="1"/>
    <col min="8705" max="8705" width="48.6640625" style="172" customWidth="1"/>
    <col min="8706" max="8706" width="12.6640625" style="172" customWidth="1"/>
    <col min="8707" max="8710" width="11.6640625" style="172" customWidth="1"/>
    <col min="8711" max="8711" width="11.88671875" style="172" customWidth="1"/>
    <col min="8712" max="8712" width="11.33203125" style="172" customWidth="1"/>
    <col min="8713" max="8713" width="11.6640625" style="172" customWidth="1"/>
    <col min="8714" max="8714" width="11.88671875" style="172" customWidth="1"/>
    <col min="8715" max="8715" width="10.33203125" style="172" bestFit="1" customWidth="1"/>
    <col min="8716" max="8958" width="9.44140625" style="172"/>
    <col min="8959" max="8959" width="2" style="172" customWidth="1"/>
    <col min="8960" max="8960" width="5.88671875" style="172" customWidth="1"/>
    <col min="8961" max="8961" width="48.6640625" style="172" customWidth="1"/>
    <col min="8962" max="8962" width="12.6640625" style="172" customWidth="1"/>
    <col min="8963" max="8966" width="11.6640625" style="172" customWidth="1"/>
    <col min="8967" max="8967" width="11.88671875" style="172" customWidth="1"/>
    <col min="8968" max="8968" width="11.33203125" style="172" customWidth="1"/>
    <col min="8969" max="8969" width="11.6640625" style="172" customWidth="1"/>
    <col min="8970" max="8970" width="11.88671875" style="172" customWidth="1"/>
    <col min="8971" max="8971" width="10.33203125" style="172" bestFit="1" customWidth="1"/>
    <col min="8972" max="9214" width="9.44140625" style="172"/>
    <col min="9215" max="9215" width="2" style="172" customWidth="1"/>
    <col min="9216" max="9216" width="5.88671875" style="172" customWidth="1"/>
    <col min="9217" max="9217" width="48.6640625" style="172" customWidth="1"/>
    <col min="9218" max="9218" width="12.6640625" style="172" customWidth="1"/>
    <col min="9219" max="9222" width="11.6640625" style="172" customWidth="1"/>
    <col min="9223" max="9223" width="11.88671875" style="172" customWidth="1"/>
    <col min="9224" max="9224" width="11.33203125" style="172" customWidth="1"/>
    <col min="9225" max="9225" width="11.6640625" style="172" customWidth="1"/>
    <col min="9226" max="9226" width="11.88671875" style="172" customWidth="1"/>
    <col min="9227" max="9227" width="10.33203125" style="172" bestFit="1" customWidth="1"/>
    <col min="9228" max="9470" width="9.44140625" style="172"/>
    <col min="9471" max="9471" width="2" style="172" customWidth="1"/>
    <col min="9472" max="9472" width="5.88671875" style="172" customWidth="1"/>
    <col min="9473" max="9473" width="48.6640625" style="172" customWidth="1"/>
    <col min="9474" max="9474" width="12.6640625" style="172" customWidth="1"/>
    <col min="9475" max="9478" width="11.6640625" style="172" customWidth="1"/>
    <col min="9479" max="9479" width="11.88671875" style="172" customWidth="1"/>
    <col min="9480" max="9480" width="11.33203125" style="172" customWidth="1"/>
    <col min="9481" max="9481" width="11.6640625" style="172" customWidth="1"/>
    <col min="9482" max="9482" width="11.88671875" style="172" customWidth="1"/>
    <col min="9483" max="9483" width="10.33203125" style="172" bestFit="1" customWidth="1"/>
    <col min="9484" max="9726" width="9.44140625" style="172"/>
    <col min="9727" max="9727" width="2" style="172" customWidth="1"/>
    <col min="9728" max="9728" width="5.88671875" style="172" customWidth="1"/>
    <col min="9729" max="9729" width="48.6640625" style="172" customWidth="1"/>
    <col min="9730" max="9730" width="12.6640625" style="172" customWidth="1"/>
    <col min="9731" max="9734" width="11.6640625" style="172" customWidth="1"/>
    <col min="9735" max="9735" width="11.88671875" style="172" customWidth="1"/>
    <col min="9736" max="9736" width="11.33203125" style="172" customWidth="1"/>
    <col min="9737" max="9737" width="11.6640625" style="172" customWidth="1"/>
    <col min="9738" max="9738" width="11.88671875" style="172" customWidth="1"/>
    <col min="9739" max="9739" width="10.33203125" style="172" bestFit="1" customWidth="1"/>
    <col min="9740" max="9982" width="9.44140625" style="172"/>
    <col min="9983" max="9983" width="2" style="172" customWidth="1"/>
    <col min="9984" max="9984" width="5.88671875" style="172" customWidth="1"/>
    <col min="9985" max="9985" width="48.6640625" style="172" customWidth="1"/>
    <col min="9986" max="9986" width="12.6640625" style="172" customWidth="1"/>
    <col min="9987" max="9990" width="11.6640625" style="172" customWidth="1"/>
    <col min="9991" max="9991" width="11.88671875" style="172" customWidth="1"/>
    <col min="9992" max="9992" width="11.33203125" style="172" customWidth="1"/>
    <col min="9993" max="9993" width="11.6640625" style="172" customWidth="1"/>
    <col min="9994" max="9994" width="11.88671875" style="172" customWidth="1"/>
    <col min="9995" max="9995" width="10.33203125" style="172" bestFit="1" customWidth="1"/>
    <col min="9996" max="10238" width="9.44140625" style="172"/>
    <col min="10239" max="10239" width="2" style="172" customWidth="1"/>
    <col min="10240" max="10240" width="5.88671875" style="172" customWidth="1"/>
    <col min="10241" max="10241" width="48.6640625" style="172" customWidth="1"/>
    <col min="10242" max="10242" width="12.6640625" style="172" customWidth="1"/>
    <col min="10243" max="10246" width="11.6640625" style="172" customWidth="1"/>
    <col min="10247" max="10247" width="11.88671875" style="172" customWidth="1"/>
    <col min="10248" max="10248" width="11.33203125" style="172" customWidth="1"/>
    <col min="10249" max="10249" width="11.6640625" style="172" customWidth="1"/>
    <col min="10250" max="10250" width="11.88671875" style="172" customWidth="1"/>
    <col min="10251" max="10251" width="10.33203125" style="172" bestFit="1" customWidth="1"/>
    <col min="10252" max="10494" width="9.44140625" style="172"/>
    <col min="10495" max="10495" width="2" style="172" customWidth="1"/>
    <col min="10496" max="10496" width="5.88671875" style="172" customWidth="1"/>
    <col min="10497" max="10497" width="48.6640625" style="172" customWidth="1"/>
    <col min="10498" max="10498" width="12.6640625" style="172" customWidth="1"/>
    <col min="10499" max="10502" width="11.6640625" style="172" customWidth="1"/>
    <col min="10503" max="10503" width="11.88671875" style="172" customWidth="1"/>
    <col min="10504" max="10504" width="11.33203125" style="172" customWidth="1"/>
    <col min="10505" max="10505" width="11.6640625" style="172" customWidth="1"/>
    <col min="10506" max="10506" width="11.88671875" style="172" customWidth="1"/>
    <col min="10507" max="10507" width="10.33203125" style="172" bestFit="1" customWidth="1"/>
    <col min="10508" max="10750" width="9.44140625" style="172"/>
    <col min="10751" max="10751" width="2" style="172" customWidth="1"/>
    <col min="10752" max="10752" width="5.88671875" style="172" customWidth="1"/>
    <col min="10753" max="10753" width="48.6640625" style="172" customWidth="1"/>
    <col min="10754" max="10754" width="12.6640625" style="172" customWidth="1"/>
    <col min="10755" max="10758" width="11.6640625" style="172" customWidth="1"/>
    <col min="10759" max="10759" width="11.88671875" style="172" customWidth="1"/>
    <col min="10760" max="10760" width="11.33203125" style="172" customWidth="1"/>
    <col min="10761" max="10761" width="11.6640625" style="172" customWidth="1"/>
    <col min="10762" max="10762" width="11.88671875" style="172" customWidth="1"/>
    <col min="10763" max="10763" width="10.33203125" style="172" bestFit="1" customWidth="1"/>
    <col min="10764" max="11006" width="9.44140625" style="172"/>
    <col min="11007" max="11007" width="2" style="172" customWidth="1"/>
    <col min="11008" max="11008" width="5.88671875" style="172" customWidth="1"/>
    <col min="11009" max="11009" width="48.6640625" style="172" customWidth="1"/>
    <col min="11010" max="11010" width="12.6640625" style="172" customWidth="1"/>
    <col min="11011" max="11014" width="11.6640625" style="172" customWidth="1"/>
    <col min="11015" max="11015" width="11.88671875" style="172" customWidth="1"/>
    <col min="11016" max="11016" width="11.33203125" style="172" customWidth="1"/>
    <col min="11017" max="11017" width="11.6640625" style="172" customWidth="1"/>
    <col min="11018" max="11018" width="11.88671875" style="172" customWidth="1"/>
    <col min="11019" max="11019" width="10.33203125" style="172" bestFit="1" customWidth="1"/>
    <col min="11020" max="11262" width="9.44140625" style="172"/>
    <col min="11263" max="11263" width="2" style="172" customWidth="1"/>
    <col min="11264" max="11264" width="5.88671875" style="172" customWidth="1"/>
    <col min="11265" max="11265" width="48.6640625" style="172" customWidth="1"/>
    <col min="11266" max="11266" width="12.6640625" style="172" customWidth="1"/>
    <col min="11267" max="11270" width="11.6640625" style="172" customWidth="1"/>
    <col min="11271" max="11271" width="11.88671875" style="172" customWidth="1"/>
    <col min="11272" max="11272" width="11.33203125" style="172" customWidth="1"/>
    <col min="11273" max="11273" width="11.6640625" style="172" customWidth="1"/>
    <col min="11274" max="11274" width="11.88671875" style="172" customWidth="1"/>
    <col min="11275" max="11275" width="10.33203125" style="172" bestFit="1" customWidth="1"/>
    <col min="11276" max="11518" width="9.44140625" style="172"/>
    <col min="11519" max="11519" width="2" style="172" customWidth="1"/>
    <col min="11520" max="11520" width="5.88671875" style="172" customWidth="1"/>
    <col min="11521" max="11521" width="48.6640625" style="172" customWidth="1"/>
    <col min="11522" max="11522" width="12.6640625" style="172" customWidth="1"/>
    <col min="11523" max="11526" width="11.6640625" style="172" customWidth="1"/>
    <col min="11527" max="11527" width="11.88671875" style="172" customWidth="1"/>
    <col min="11528" max="11528" width="11.33203125" style="172" customWidth="1"/>
    <col min="11529" max="11529" width="11.6640625" style="172" customWidth="1"/>
    <col min="11530" max="11530" width="11.88671875" style="172" customWidth="1"/>
    <col min="11531" max="11531" width="10.33203125" style="172" bestFit="1" customWidth="1"/>
    <col min="11532" max="11774" width="9.44140625" style="172"/>
    <col min="11775" max="11775" width="2" style="172" customWidth="1"/>
    <col min="11776" max="11776" width="5.88671875" style="172" customWidth="1"/>
    <col min="11777" max="11777" width="48.6640625" style="172" customWidth="1"/>
    <col min="11778" max="11778" width="12.6640625" style="172" customWidth="1"/>
    <col min="11779" max="11782" width="11.6640625" style="172" customWidth="1"/>
    <col min="11783" max="11783" width="11.88671875" style="172" customWidth="1"/>
    <col min="11784" max="11784" width="11.33203125" style="172" customWidth="1"/>
    <col min="11785" max="11785" width="11.6640625" style="172" customWidth="1"/>
    <col min="11786" max="11786" width="11.88671875" style="172" customWidth="1"/>
    <col min="11787" max="11787" width="10.33203125" style="172" bestFit="1" customWidth="1"/>
    <col min="11788" max="12030" width="9.44140625" style="172"/>
    <col min="12031" max="12031" width="2" style="172" customWidth="1"/>
    <col min="12032" max="12032" width="5.88671875" style="172" customWidth="1"/>
    <col min="12033" max="12033" width="48.6640625" style="172" customWidth="1"/>
    <col min="12034" max="12034" width="12.6640625" style="172" customWidth="1"/>
    <col min="12035" max="12038" width="11.6640625" style="172" customWidth="1"/>
    <col min="12039" max="12039" width="11.88671875" style="172" customWidth="1"/>
    <col min="12040" max="12040" width="11.33203125" style="172" customWidth="1"/>
    <col min="12041" max="12041" width="11.6640625" style="172" customWidth="1"/>
    <col min="12042" max="12042" width="11.88671875" style="172" customWidth="1"/>
    <col min="12043" max="12043" width="10.33203125" style="172" bestFit="1" customWidth="1"/>
    <col min="12044" max="12286" width="9.44140625" style="172"/>
    <col min="12287" max="12287" width="2" style="172" customWidth="1"/>
    <col min="12288" max="12288" width="5.88671875" style="172" customWidth="1"/>
    <col min="12289" max="12289" width="48.6640625" style="172" customWidth="1"/>
    <col min="12290" max="12290" width="12.6640625" style="172" customWidth="1"/>
    <col min="12291" max="12294" width="11.6640625" style="172" customWidth="1"/>
    <col min="12295" max="12295" width="11.88671875" style="172" customWidth="1"/>
    <col min="12296" max="12296" width="11.33203125" style="172" customWidth="1"/>
    <col min="12297" max="12297" width="11.6640625" style="172" customWidth="1"/>
    <col min="12298" max="12298" width="11.88671875" style="172" customWidth="1"/>
    <col min="12299" max="12299" width="10.33203125" style="172" bestFit="1" customWidth="1"/>
    <col min="12300" max="12542" width="9.44140625" style="172"/>
    <col min="12543" max="12543" width="2" style="172" customWidth="1"/>
    <col min="12544" max="12544" width="5.88671875" style="172" customWidth="1"/>
    <col min="12545" max="12545" width="48.6640625" style="172" customWidth="1"/>
    <col min="12546" max="12546" width="12.6640625" style="172" customWidth="1"/>
    <col min="12547" max="12550" width="11.6640625" style="172" customWidth="1"/>
    <col min="12551" max="12551" width="11.88671875" style="172" customWidth="1"/>
    <col min="12552" max="12552" width="11.33203125" style="172" customWidth="1"/>
    <col min="12553" max="12553" width="11.6640625" style="172" customWidth="1"/>
    <col min="12554" max="12554" width="11.88671875" style="172" customWidth="1"/>
    <col min="12555" max="12555" width="10.33203125" style="172" bestFit="1" customWidth="1"/>
    <col min="12556" max="12798" width="9.44140625" style="172"/>
    <col min="12799" max="12799" width="2" style="172" customWidth="1"/>
    <col min="12800" max="12800" width="5.88671875" style="172" customWidth="1"/>
    <col min="12801" max="12801" width="48.6640625" style="172" customWidth="1"/>
    <col min="12802" max="12802" width="12.6640625" style="172" customWidth="1"/>
    <col min="12803" max="12806" width="11.6640625" style="172" customWidth="1"/>
    <col min="12807" max="12807" width="11.88671875" style="172" customWidth="1"/>
    <col min="12808" max="12808" width="11.33203125" style="172" customWidth="1"/>
    <col min="12809" max="12809" width="11.6640625" style="172" customWidth="1"/>
    <col min="12810" max="12810" width="11.88671875" style="172" customWidth="1"/>
    <col min="12811" max="12811" width="10.33203125" style="172" bestFit="1" customWidth="1"/>
    <col min="12812" max="13054" width="9.44140625" style="172"/>
    <col min="13055" max="13055" width="2" style="172" customWidth="1"/>
    <col min="13056" max="13056" width="5.88671875" style="172" customWidth="1"/>
    <col min="13057" max="13057" width="48.6640625" style="172" customWidth="1"/>
    <col min="13058" max="13058" width="12.6640625" style="172" customWidth="1"/>
    <col min="13059" max="13062" width="11.6640625" style="172" customWidth="1"/>
    <col min="13063" max="13063" width="11.88671875" style="172" customWidth="1"/>
    <col min="13064" max="13064" width="11.33203125" style="172" customWidth="1"/>
    <col min="13065" max="13065" width="11.6640625" style="172" customWidth="1"/>
    <col min="13066" max="13066" width="11.88671875" style="172" customWidth="1"/>
    <col min="13067" max="13067" width="10.33203125" style="172" bestFit="1" customWidth="1"/>
    <col min="13068" max="13310" width="9.44140625" style="172"/>
    <col min="13311" max="13311" width="2" style="172" customWidth="1"/>
    <col min="13312" max="13312" width="5.88671875" style="172" customWidth="1"/>
    <col min="13313" max="13313" width="48.6640625" style="172" customWidth="1"/>
    <col min="13314" max="13314" width="12.6640625" style="172" customWidth="1"/>
    <col min="13315" max="13318" width="11.6640625" style="172" customWidth="1"/>
    <col min="13319" max="13319" width="11.88671875" style="172" customWidth="1"/>
    <col min="13320" max="13320" width="11.33203125" style="172" customWidth="1"/>
    <col min="13321" max="13321" width="11.6640625" style="172" customWidth="1"/>
    <col min="13322" max="13322" width="11.88671875" style="172" customWidth="1"/>
    <col min="13323" max="13323" width="10.33203125" style="172" bestFit="1" customWidth="1"/>
    <col min="13324" max="13566" width="9.44140625" style="172"/>
    <col min="13567" max="13567" width="2" style="172" customWidth="1"/>
    <col min="13568" max="13568" width="5.88671875" style="172" customWidth="1"/>
    <col min="13569" max="13569" width="48.6640625" style="172" customWidth="1"/>
    <col min="13570" max="13570" width="12.6640625" style="172" customWidth="1"/>
    <col min="13571" max="13574" width="11.6640625" style="172" customWidth="1"/>
    <col min="13575" max="13575" width="11.88671875" style="172" customWidth="1"/>
    <col min="13576" max="13576" width="11.33203125" style="172" customWidth="1"/>
    <col min="13577" max="13577" width="11.6640625" style="172" customWidth="1"/>
    <col min="13578" max="13578" width="11.88671875" style="172" customWidth="1"/>
    <col min="13579" max="13579" width="10.33203125" style="172" bestFit="1" customWidth="1"/>
    <col min="13580" max="13822" width="9.44140625" style="172"/>
    <col min="13823" max="13823" width="2" style="172" customWidth="1"/>
    <col min="13824" max="13824" width="5.88671875" style="172" customWidth="1"/>
    <col min="13825" max="13825" width="48.6640625" style="172" customWidth="1"/>
    <col min="13826" max="13826" width="12.6640625" style="172" customWidth="1"/>
    <col min="13827" max="13830" width="11.6640625" style="172" customWidth="1"/>
    <col min="13831" max="13831" width="11.88671875" style="172" customWidth="1"/>
    <col min="13832" max="13832" width="11.33203125" style="172" customWidth="1"/>
    <col min="13833" max="13833" width="11.6640625" style="172" customWidth="1"/>
    <col min="13834" max="13834" width="11.88671875" style="172" customWidth="1"/>
    <col min="13835" max="13835" width="10.33203125" style="172" bestFit="1" customWidth="1"/>
    <col min="13836" max="14078" width="9.44140625" style="172"/>
    <col min="14079" max="14079" width="2" style="172" customWidth="1"/>
    <col min="14080" max="14080" width="5.88671875" style="172" customWidth="1"/>
    <col min="14081" max="14081" width="48.6640625" style="172" customWidth="1"/>
    <col min="14082" max="14082" width="12.6640625" style="172" customWidth="1"/>
    <col min="14083" max="14086" width="11.6640625" style="172" customWidth="1"/>
    <col min="14087" max="14087" width="11.88671875" style="172" customWidth="1"/>
    <col min="14088" max="14088" width="11.33203125" style="172" customWidth="1"/>
    <col min="14089" max="14089" width="11.6640625" style="172" customWidth="1"/>
    <col min="14090" max="14090" width="11.88671875" style="172" customWidth="1"/>
    <col min="14091" max="14091" width="10.33203125" style="172" bestFit="1" customWidth="1"/>
    <col min="14092" max="14334" width="9.44140625" style="172"/>
    <col min="14335" max="14335" width="2" style="172" customWidth="1"/>
    <col min="14336" max="14336" width="5.88671875" style="172" customWidth="1"/>
    <col min="14337" max="14337" width="48.6640625" style="172" customWidth="1"/>
    <col min="14338" max="14338" width="12.6640625" style="172" customWidth="1"/>
    <col min="14339" max="14342" width="11.6640625" style="172" customWidth="1"/>
    <col min="14343" max="14343" width="11.88671875" style="172" customWidth="1"/>
    <col min="14344" max="14344" width="11.33203125" style="172" customWidth="1"/>
    <col min="14345" max="14345" width="11.6640625" style="172" customWidth="1"/>
    <col min="14346" max="14346" width="11.88671875" style="172" customWidth="1"/>
    <col min="14347" max="14347" width="10.33203125" style="172" bestFit="1" customWidth="1"/>
    <col min="14348" max="14590" width="9.44140625" style="172"/>
    <col min="14591" max="14591" width="2" style="172" customWidth="1"/>
    <col min="14592" max="14592" width="5.88671875" style="172" customWidth="1"/>
    <col min="14593" max="14593" width="48.6640625" style="172" customWidth="1"/>
    <col min="14594" max="14594" width="12.6640625" style="172" customWidth="1"/>
    <col min="14595" max="14598" width="11.6640625" style="172" customWidth="1"/>
    <col min="14599" max="14599" width="11.88671875" style="172" customWidth="1"/>
    <col min="14600" max="14600" width="11.33203125" style="172" customWidth="1"/>
    <col min="14601" max="14601" width="11.6640625" style="172" customWidth="1"/>
    <col min="14602" max="14602" width="11.88671875" style="172" customWidth="1"/>
    <col min="14603" max="14603" width="10.33203125" style="172" bestFit="1" customWidth="1"/>
    <col min="14604" max="14846" width="9.44140625" style="172"/>
    <col min="14847" max="14847" width="2" style="172" customWidth="1"/>
    <col min="14848" max="14848" width="5.88671875" style="172" customWidth="1"/>
    <col min="14849" max="14849" width="48.6640625" style="172" customWidth="1"/>
    <col min="14850" max="14850" width="12.6640625" style="172" customWidth="1"/>
    <col min="14851" max="14854" width="11.6640625" style="172" customWidth="1"/>
    <col min="14855" max="14855" width="11.88671875" style="172" customWidth="1"/>
    <col min="14856" max="14856" width="11.33203125" style="172" customWidth="1"/>
    <col min="14857" max="14857" width="11.6640625" style="172" customWidth="1"/>
    <col min="14858" max="14858" width="11.88671875" style="172" customWidth="1"/>
    <col min="14859" max="14859" width="10.33203125" style="172" bestFit="1" customWidth="1"/>
    <col min="14860" max="15102" width="9.44140625" style="172"/>
    <col min="15103" max="15103" width="2" style="172" customWidth="1"/>
    <col min="15104" max="15104" width="5.88671875" style="172" customWidth="1"/>
    <col min="15105" max="15105" width="48.6640625" style="172" customWidth="1"/>
    <col min="15106" max="15106" width="12.6640625" style="172" customWidth="1"/>
    <col min="15107" max="15110" width="11.6640625" style="172" customWidth="1"/>
    <col min="15111" max="15111" width="11.88671875" style="172" customWidth="1"/>
    <col min="15112" max="15112" width="11.33203125" style="172" customWidth="1"/>
    <col min="15113" max="15113" width="11.6640625" style="172" customWidth="1"/>
    <col min="15114" max="15114" width="11.88671875" style="172" customWidth="1"/>
    <col min="15115" max="15115" width="10.33203125" style="172" bestFit="1" customWidth="1"/>
    <col min="15116" max="15358" width="9.44140625" style="172"/>
    <col min="15359" max="15359" width="2" style="172" customWidth="1"/>
    <col min="15360" max="15360" width="5.88671875" style="172" customWidth="1"/>
    <col min="15361" max="15361" width="48.6640625" style="172" customWidth="1"/>
    <col min="15362" max="15362" width="12.6640625" style="172" customWidth="1"/>
    <col min="15363" max="15366" width="11.6640625" style="172" customWidth="1"/>
    <col min="15367" max="15367" width="11.88671875" style="172" customWidth="1"/>
    <col min="15368" max="15368" width="11.33203125" style="172" customWidth="1"/>
    <col min="15369" max="15369" width="11.6640625" style="172" customWidth="1"/>
    <col min="15370" max="15370" width="11.88671875" style="172" customWidth="1"/>
    <col min="15371" max="15371" width="10.33203125" style="172" bestFit="1" customWidth="1"/>
    <col min="15372" max="15614" width="9.44140625" style="172"/>
    <col min="15615" max="15615" width="2" style="172" customWidth="1"/>
    <col min="15616" max="15616" width="5.88671875" style="172" customWidth="1"/>
    <col min="15617" max="15617" width="48.6640625" style="172" customWidth="1"/>
    <col min="15618" max="15618" width="12.6640625" style="172" customWidth="1"/>
    <col min="15619" max="15622" width="11.6640625" style="172" customWidth="1"/>
    <col min="15623" max="15623" width="11.88671875" style="172" customWidth="1"/>
    <col min="15624" max="15624" width="11.33203125" style="172" customWidth="1"/>
    <col min="15625" max="15625" width="11.6640625" style="172" customWidth="1"/>
    <col min="15626" max="15626" width="11.88671875" style="172" customWidth="1"/>
    <col min="15627" max="15627" width="10.33203125" style="172" bestFit="1" customWidth="1"/>
    <col min="15628" max="15870" width="9.44140625" style="172"/>
    <col min="15871" max="15871" width="2" style="172" customWidth="1"/>
    <col min="15872" max="15872" width="5.88671875" style="172" customWidth="1"/>
    <col min="15873" max="15873" width="48.6640625" style="172" customWidth="1"/>
    <col min="15874" max="15874" width="12.6640625" style="172" customWidth="1"/>
    <col min="15875" max="15878" width="11.6640625" style="172" customWidth="1"/>
    <col min="15879" max="15879" width="11.88671875" style="172" customWidth="1"/>
    <col min="15880" max="15880" width="11.33203125" style="172" customWidth="1"/>
    <col min="15881" max="15881" width="11.6640625" style="172" customWidth="1"/>
    <col min="15882" max="15882" width="11.88671875" style="172" customWidth="1"/>
    <col min="15883" max="15883" width="10.33203125" style="172" bestFit="1" customWidth="1"/>
    <col min="15884" max="16126" width="9.44140625" style="172"/>
    <col min="16127" max="16127" width="2" style="172" customWidth="1"/>
    <col min="16128" max="16128" width="5.88671875" style="172" customWidth="1"/>
    <col min="16129" max="16129" width="48.6640625" style="172" customWidth="1"/>
    <col min="16130" max="16130" width="12.6640625" style="172" customWidth="1"/>
    <col min="16131" max="16134" width="11.6640625" style="172" customWidth="1"/>
    <col min="16135" max="16135" width="11.88671875" style="172" customWidth="1"/>
    <col min="16136" max="16136" width="11.33203125" style="172" customWidth="1"/>
    <col min="16137" max="16137" width="11.6640625" style="172" customWidth="1"/>
    <col min="16138" max="16138" width="11.88671875" style="172" customWidth="1"/>
    <col min="16139" max="16139" width="10.33203125" style="172" bestFit="1" customWidth="1"/>
    <col min="16140" max="16384" width="9.44140625" style="172"/>
  </cols>
  <sheetData>
    <row r="1" spans="1:20" ht="90.75" customHeight="1" thickBot="1">
      <c r="A1" s="375"/>
      <c r="B1" s="376"/>
      <c r="C1" s="376"/>
      <c r="D1" s="376"/>
      <c r="E1" s="376"/>
      <c r="F1" s="376"/>
      <c r="G1" s="376"/>
      <c r="H1" s="377"/>
    </row>
    <row r="2" spans="1:20" ht="15" customHeight="1">
      <c r="A2" s="378" t="s">
        <v>337</v>
      </c>
      <c r="B2" s="379"/>
      <c r="C2" s="379"/>
      <c r="D2" s="379"/>
      <c r="E2" s="379"/>
      <c r="F2" s="379"/>
      <c r="G2" s="379"/>
      <c r="H2" s="380"/>
    </row>
    <row r="3" spans="1:20" ht="15" customHeight="1">
      <c r="A3" s="381" t="str">
        <f>'ORÇ BASE'!A3</f>
        <v>LOCAL: VÁRZEA ALEGRE - ZONA RURAL - TERRA NOVA/PE</v>
      </c>
      <c r="B3" s="382"/>
      <c r="C3" s="382"/>
      <c r="D3" s="382"/>
      <c r="E3" s="382"/>
      <c r="F3" s="382"/>
      <c r="G3" s="382"/>
      <c r="H3" s="383"/>
      <c r="I3" s="173"/>
    </row>
    <row r="4" spans="1:20" ht="15" customHeight="1" thickBot="1">
      <c r="A4" s="384" t="str">
        <f>'ORÇ BASE'!A4</f>
        <v>OBJETO: CONSTRUÇÃO DE UMA QUADRA ESPORTIVA DESCOBERTA</v>
      </c>
      <c r="B4" s="385"/>
      <c r="C4" s="385"/>
      <c r="D4" s="385"/>
      <c r="E4" s="385"/>
      <c r="F4" s="385"/>
      <c r="G4" s="385"/>
      <c r="H4" s="386"/>
      <c r="I4" s="173"/>
    </row>
    <row r="5" spans="1:20" ht="15" customHeight="1" thickBot="1">
      <c r="A5" s="387"/>
      <c r="B5" s="388"/>
      <c r="C5" s="388"/>
      <c r="D5" s="388"/>
      <c r="E5" s="388"/>
      <c r="F5" s="388"/>
      <c r="G5" s="388"/>
      <c r="H5" s="388"/>
      <c r="I5" s="173"/>
    </row>
    <row r="6" spans="1:20" ht="14.4" thickBot="1">
      <c r="A6" s="372" t="s">
        <v>338</v>
      </c>
      <c r="B6" s="373"/>
      <c r="C6" s="373"/>
      <c r="D6" s="373"/>
      <c r="E6" s="373"/>
      <c r="F6" s="373"/>
      <c r="G6" s="373"/>
      <c r="H6" s="374"/>
      <c r="I6" s="174"/>
    </row>
    <row r="7" spans="1:20" s="182" customFormat="1">
      <c r="A7" s="175"/>
      <c r="B7" s="176" t="s">
        <v>7</v>
      </c>
      <c r="C7" s="177" t="s">
        <v>236</v>
      </c>
      <c r="D7" s="178" t="s">
        <v>162</v>
      </c>
      <c r="E7" s="179" t="s">
        <v>339</v>
      </c>
      <c r="F7" s="180" t="s">
        <v>340</v>
      </c>
      <c r="G7" s="180" t="s">
        <v>341</v>
      </c>
      <c r="H7" s="181" t="s">
        <v>342</v>
      </c>
    </row>
    <row r="8" spans="1:20" s="182" customFormat="1" ht="15" customHeight="1">
      <c r="A8" s="183"/>
      <c r="B8" s="301" t="s">
        <v>16</v>
      </c>
      <c r="C8" s="184" t="s">
        <v>17</v>
      </c>
      <c r="D8" s="185">
        <f>'ORÇ BASE'!G13</f>
        <v>11546.619999999999</v>
      </c>
      <c r="E8" s="302">
        <f>J8</f>
        <v>11546.62</v>
      </c>
      <c r="F8" s="187"/>
      <c r="G8" s="187"/>
      <c r="H8" s="188"/>
      <c r="I8" s="189">
        <f t="shared" ref="I8:I17" si="0">SUM(E8:H8)</f>
        <v>11546.62</v>
      </c>
      <c r="J8" s="190">
        <f>ROUND(D8/1,2)</f>
        <v>11546.62</v>
      </c>
    </row>
    <row r="9" spans="1:20" s="182" customFormat="1" ht="15" customHeight="1">
      <c r="A9" s="183"/>
      <c r="B9" s="301" t="s">
        <v>30</v>
      </c>
      <c r="C9" s="184" t="s">
        <v>31</v>
      </c>
      <c r="D9" s="185">
        <f>'ORÇ BASE'!G22</f>
        <v>72672.850000000006</v>
      </c>
      <c r="E9" s="302">
        <f>J9</f>
        <v>36336.43</v>
      </c>
      <c r="F9" s="303">
        <f>D9-E9</f>
        <v>36336.420000000006</v>
      </c>
      <c r="G9" s="187"/>
      <c r="H9" s="188"/>
      <c r="I9" s="189">
        <f t="shared" si="0"/>
        <v>72672.850000000006</v>
      </c>
      <c r="J9" s="190">
        <f>ROUND(D9/2,2)</f>
        <v>36336.43</v>
      </c>
    </row>
    <row r="10" spans="1:20" s="182" customFormat="1" ht="28.2" customHeight="1">
      <c r="A10" s="183"/>
      <c r="B10" s="301" t="s">
        <v>46</v>
      </c>
      <c r="C10" s="184" t="s">
        <v>47</v>
      </c>
      <c r="D10" s="185">
        <f>'ORÇ BASE'!G33</f>
        <v>96861.08</v>
      </c>
      <c r="E10" s="302">
        <f>J10</f>
        <v>48430.54</v>
      </c>
      <c r="F10" s="303">
        <f>D10-E10</f>
        <v>48430.54</v>
      </c>
      <c r="G10" s="187"/>
      <c r="H10" s="188"/>
      <c r="I10" s="189">
        <f t="shared" si="0"/>
        <v>96861.08</v>
      </c>
      <c r="J10" s="190">
        <f>ROUND(D10/2,2)</f>
        <v>48430.54</v>
      </c>
    </row>
    <row r="11" spans="1:20" s="182" customFormat="1" ht="15" customHeight="1">
      <c r="A11" s="183"/>
      <c r="B11" s="301" t="s">
        <v>67</v>
      </c>
      <c r="C11" s="184" t="s">
        <v>68</v>
      </c>
      <c r="D11" s="185">
        <f>'ORÇ BASE'!G37</f>
        <v>43195.71</v>
      </c>
      <c r="E11" s="186"/>
      <c r="F11" s="187"/>
      <c r="G11" s="303">
        <f>J11</f>
        <v>43195.71</v>
      </c>
      <c r="H11" s="188"/>
      <c r="I11" s="189">
        <f t="shared" si="0"/>
        <v>43195.71</v>
      </c>
      <c r="J11" s="190">
        <f>ROUND(D11/1,2)</f>
        <v>43195.71</v>
      </c>
    </row>
    <row r="12" spans="1:20" s="182" customFormat="1" ht="15" customHeight="1">
      <c r="A12" s="183"/>
      <c r="B12" s="301" t="s">
        <v>73</v>
      </c>
      <c r="C12" s="184" t="s">
        <v>74</v>
      </c>
      <c r="D12" s="185">
        <f>'ORÇ BASE'!G44</f>
        <v>91443.01</v>
      </c>
      <c r="E12" s="186"/>
      <c r="F12" s="187"/>
      <c r="G12" s="303">
        <f>J12</f>
        <v>45721.51</v>
      </c>
      <c r="H12" s="304">
        <f>D12-G12</f>
        <v>45721.499999999993</v>
      </c>
      <c r="I12" s="189">
        <f t="shared" si="0"/>
        <v>91443.01</v>
      </c>
      <c r="J12" s="190">
        <f>ROUND(D12/2,2)</f>
        <v>45721.51</v>
      </c>
    </row>
    <row r="13" spans="1:20" s="182" customFormat="1" ht="15" customHeight="1">
      <c r="A13" s="183"/>
      <c r="B13" s="301" t="s">
        <v>85</v>
      </c>
      <c r="C13" s="184" t="s">
        <v>86</v>
      </c>
      <c r="D13" s="185">
        <f>'ORÇ BASE'!G59</f>
        <v>18979.8</v>
      </c>
      <c r="E13" s="191"/>
      <c r="F13" s="192"/>
      <c r="G13" s="192"/>
      <c r="H13" s="305">
        <f>J13</f>
        <v>18979.8</v>
      </c>
      <c r="I13" s="189">
        <f t="shared" si="0"/>
        <v>18979.8</v>
      </c>
      <c r="J13" s="190">
        <f>ROUND(D13/1,2)</f>
        <v>18979.8</v>
      </c>
    </row>
    <row r="14" spans="1:20" s="182" customFormat="1" ht="15" customHeight="1">
      <c r="A14" s="183"/>
      <c r="B14" s="301" t="s">
        <v>119</v>
      </c>
      <c r="C14" s="184" t="s">
        <v>120</v>
      </c>
      <c r="D14" s="185">
        <f>'ORÇ BASE'!G67</f>
        <v>29977.89</v>
      </c>
      <c r="E14" s="193"/>
      <c r="F14" s="193"/>
      <c r="G14" s="193"/>
      <c r="H14" s="306">
        <f>J14</f>
        <v>29977.89</v>
      </c>
      <c r="I14" s="189">
        <f t="shared" si="0"/>
        <v>29977.89</v>
      </c>
      <c r="J14" s="190">
        <f t="shared" ref="J14:J15" si="1">ROUND(D14/1,2)</f>
        <v>29977.89</v>
      </c>
    </row>
    <row r="15" spans="1:20" s="182" customFormat="1" ht="15" customHeight="1">
      <c r="A15" s="183"/>
      <c r="B15" s="301" t="s">
        <v>137</v>
      </c>
      <c r="C15" s="184" t="s">
        <v>138</v>
      </c>
      <c r="D15" s="185">
        <f>'ORÇ BASE'!G73</f>
        <v>12239.35</v>
      </c>
      <c r="E15" s="193"/>
      <c r="F15" s="193"/>
      <c r="G15" s="193"/>
      <c r="H15" s="306">
        <f>J15</f>
        <v>12239.35</v>
      </c>
      <c r="I15" s="189">
        <f t="shared" si="0"/>
        <v>12239.35</v>
      </c>
      <c r="J15" s="190">
        <f t="shared" si="1"/>
        <v>12239.35</v>
      </c>
    </row>
    <row r="16" spans="1:20" s="182" customFormat="1" ht="20.100000000000001" customHeight="1">
      <c r="A16" s="183"/>
      <c r="B16" s="301"/>
      <c r="C16" s="194" t="s">
        <v>162</v>
      </c>
      <c r="D16" s="195">
        <f t="shared" ref="D16:H16" si="2">SUM(D8:D15)</f>
        <v>376916.30999999994</v>
      </c>
      <c r="E16" s="307">
        <f t="shared" si="2"/>
        <v>96313.59</v>
      </c>
      <c r="F16" s="307">
        <f t="shared" si="2"/>
        <v>84766.96</v>
      </c>
      <c r="G16" s="307">
        <f t="shared" si="2"/>
        <v>88917.22</v>
      </c>
      <c r="H16" s="308">
        <f t="shared" si="2"/>
        <v>106918.54</v>
      </c>
      <c r="I16" s="189">
        <f t="shared" si="0"/>
        <v>376916.31</v>
      </c>
      <c r="J16" s="196"/>
      <c r="K16" s="197"/>
      <c r="L16" s="198"/>
      <c r="M16" s="198"/>
      <c r="N16" s="198"/>
      <c r="O16" s="198"/>
      <c r="P16" s="198"/>
      <c r="Q16" s="198"/>
      <c r="R16" s="198"/>
      <c r="S16" s="198"/>
      <c r="T16" s="198"/>
    </row>
    <row r="17" spans="1:20" s="182" customFormat="1" ht="20.100000000000001" customHeight="1" thickBot="1">
      <c r="A17" s="199"/>
      <c r="B17" s="200"/>
      <c r="C17" s="201" t="s">
        <v>343</v>
      </c>
      <c r="D17" s="202">
        <f>(D16*100/D21)/100</f>
        <v>1</v>
      </c>
      <c r="E17" s="203">
        <f t="shared" ref="E17:H17" si="3">(E16*100/$D$16)/100</f>
        <v>0.25553043857401664</v>
      </c>
      <c r="F17" s="203">
        <f t="shared" si="3"/>
        <v>0.2248959722650368</v>
      </c>
      <c r="G17" s="203">
        <f t="shared" si="3"/>
        <v>0.23590706382538876</v>
      </c>
      <c r="H17" s="204">
        <f t="shared" si="3"/>
        <v>0.28366652533555797</v>
      </c>
      <c r="I17" s="205">
        <f t="shared" si="0"/>
        <v>1.0000000000000002</v>
      </c>
      <c r="J17" s="196"/>
      <c r="K17" s="197"/>
      <c r="L17" s="198"/>
      <c r="M17" s="198"/>
      <c r="N17" s="198"/>
      <c r="O17" s="198"/>
      <c r="P17" s="198"/>
      <c r="Q17" s="198"/>
      <c r="R17" s="198"/>
      <c r="S17" s="198"/>
      <c r="T17" s="198"/>
    </row>
    <row r="18" spans="1:20" s="182" customFormat="1" ht="12" customHeight="1">
      <c r="B18" s="206"/>
      <c r="C18" s="207"/>
      <c r="D18" s="207"/>
      <c r="E18" s="208"/>
      <c r="F18" s="208"/>
      <c r="G18" s="208"/>
      <c r="H18" s="208"/>
      <c r="I18" s="209"/>
      <c r="J18" s="196"/>
      <c r="K18" s="197"/>
      <c r="L18" s="198"/>
      <c r="M18" s="198"/>
      <c r="N18" s="198"/>
      <c r="O18" s="198"/>
      <c r="P18" s="198"/>
      <c r="Q18" s="198"/>
      <c r="R18" s="198"/>
      <c r="S18" s="198"/>
      <c r="T18" s="198"/>
    </row>
    <row r="19" spans="1:20" s="182" customFormat="1" ht="12.9" customHeight="1">
      <c r="B19" s="206"/>
      <c r="C19" s="210"/>
      <c r="D19" s="210"/>
      <c r="E19" s="208"/>
      <c r="F19" s="208"/>
      <c r="G19" s="208"/>
      <c r="H19" s="208"/>
      <c r="I19" s="189"/>
      <c r="J19" s="196"/>
      <c r="K19" s="197"/>
      <c r="L19" s="198"/>
      <c r="M19" s="198"/>
      <c r="N19" s="198"/>
      <c r="O19" s="198"/>
      <c r="P19" s="198"/>
      <c r="Q19" s="198"/>
      <c r="R19" s="198"/>
      <c r="S19" s="198"/>
      <c r="T19" s="198"/>
    </row>
    <row r="20" spans="1:20" s="182" customFormat="1" ht="12.9" customHeight="1">
      <c r="B20" s="206"/>
      <c r="C20" s="210"/>
      <c r="D20" s="210"/>
      <c r="E20" s="208"/>
      <c r="F20" s="208"/>
      <c r="G20" s="208"/>
      <c r="H20" s="208"/>
      <c r="I20" s="189"/>
      <c r="J20" s="211"/>
      <c r="K20" s="212"/>
      <c r="L20" s="198"/>
      <c r="M20" s="198"/>
      <c r="N20" s="198"/>
      <c r="O20" s="198"/>
      <c r="P20" s="198"/>
      <c r="Q20" s="198"/>
      <c r="R20" s="198"/>
      <c r="S20" s="198"/>
      <c r="T20" s="198"/>
    </row>
    <row r="21" spans="1:20" s="182" customFormat="1" ht="12.9" customHeight="1">
      <c r="B21" s="206"/>
      <c r="C21" s="210"/>
      <c r="D21" s="210">
        <f>'ORÇ BASE'!G75</f>
        <v>376916.30999999994</v>
      </c>
      <c r="E21" s="208"/>
      <c r="F21" s="208"/>
      <c r="G21" s="208"/>
      <c r="H21" s="208"/>
      <c r="I21" s="189"/>
      <c r="J21" s="213"/>
      <c r="K21" s="197"/>
      <c r="L21" s="198"/>
      <c r="M21" s="198"/>
      <c r="N21" s="198"/>
      <c r="O21" s="198"/>
      <c r="P21" s="198"/>
      <c r="Q21" s="198"/>
      <c r="R21" s="198"/>
      <c r="S21" s="198"/>
      <c r="T21" s="198"/>
    </row>
    <row r="22" spans="1:20" s="182" customFormat="1" ht="12.9" customHeight="1">
      <c r="B22" s="206"/>
      <c r="C22" s="210"/>
      <c r="D22" s="210"/>
      <c r="E22" s="208"/>
      <c r="F22" s="208"/>
      <c r="G22" s="208"/>
      <c r="H22" s="214"/>
      <c r="I22" s="211"/>
      <c r="J22" s="211"/>
      <c r="K22" s="211"/>
      <c r="L22" s="198"/>
      <c r="M22" s="198"/>
      <c r="N22" s="198"/>
      <c r="O22" s="198"/>
      <c r="P22" s="198"/>
      <c r="Q22" s="198"/>
      <c r="R22" s="198"/>
      <c r="S22" s="198"/>
      <c r="T22" s="198"/>
    </row>
    <row r="23" spans="1:20" s="182" customFormat="1" ht="12.9" customHeight="1">
      <c r="B23" s="215"/>
      <c r="C23" s="216"/>
      <c r="D23" s="216"/>
      <c r="E23" s="217"/>
      <c r="F23" s="217"/>
      <c r="G23" s="217"/>
      <c r="H23" s="218"/>
      <c r="I23" s="198"/>
      <c r="J23" s="211"/>
      <c r="K23" s="213"/>
      <c r="L23" s="198"/>
      <c r="M23" s="198"/>
      <c r="N23" s="198"/>
      <c r="O23" s="198"/>
      <c r="P23" s="198"/>
      <c r="Q23" s="198"/>
      <c r="R23" s="198"/>
      <c r="S23" s="198"/>
      <c r="T23" s="198"/>
    </row>
    <row r="24" spans="1:20" s="182" customFormat="1" ht="12.9" customHeight="1">
      <c r="A24" s="219"/>
      <c r="B24" s="220"/>
      <c r="C24" s="206"/>
      <c r="D24" s="206"/>
      <c r="E24" s="208"/>
      <c r="F24" s="208"/>
      <c r="G24" s="208"/>
      <c r="H24" s="208"/>
      <c r="I24" s="211"/>
      <c r="J24" s="198"/>
      <c r="K24" s="198"/>
      <c r="L24" s="198"/>
      <c r="M24" s="198"/>
      <c r="N24" s="221"/>
      <c r="O24" s="221"/>
      <c r="P24" s="221"/>
      <c r="Q24" s="221"/>
      <c r="R24" s="221"/>
      <c r="S24" s="221"/>
      <c r="T24" s="221"/>
    </row>
    <row r="25" spans="1:20" ht="12.9" customHeight="1">
      <c r="A25" s="222"/>
      <c r="B25" s="223"/>
      <c r="C25" s="224"/>
      <c r="D25" s="224"/>
      <c r="E25" s="225"/>
      <c r="F25" s="225"/>
      <c r="G25" s="225"/>
      <c r="H25" s="225"/>
      <c r="I25" s="226"/>
      <c r="J25" s="227"/>
      <c r="K25" s="227"/>
      <c r="L25" s="228"/>
      <c r="M25" s="228"/>
      <c r="N25" s="228"/>
      <c r="O25" s="228"/>
      <c r="P25" s="228"/>
      <c r="Q25" s="228"/>
      <c r="R25" s="228"/>
      <c r="S25" s="228"/>
      <c r="T25" s="228"/>
    </row>
    <row r="26" spans="1:20" ht="12.9" customHeight="1">
      <c r="A26" s="222"/>
      <c r="B26" s="223"/>
      <c r="C26" s="224"/>
      <c r="D26" s="224"/>
      <c r="E26" s="225"/>
      <c r="F26" s="225"/>
      <c r="G26" s="214"/>
      <c r="H26" s="225"/>
      <c r="I26" s="226"/>
      <c r="J26" s="227"/>
      <c r="K26" s="227"/>
      <c r="L26" s="228"/>
      <c r="M26" s="228"/>
      <c r="N26" s="228"/>
      <c r="O26" s="228"/>
      <c r="P26" s="228"/>
      <c r="Q26" s="228"/>
      <c r="R26" s="228"/>
      <c r="S26" s="228"/>
      <c r="T26" s="228"/>
    </row>
    <row r="27" spans="1:20" ht="12.9" customHeight="1">
      <c r="A27" s="222"/>
      <c r="B27" s="229"/>
      <c r="C27" s="224"/>
      <c r="D27" s="224"/>
      <c r="E27" s="225"/>
      <c r="F27" s="225"/>
      <c r="G27" s="225"/>
      <c r="H27" s="225"/>
      <c r="I27" s="227"/>
      <c r="J27" s="227"/>
      <c r="K27" s="227"/>
      <c r="L27" s="228"/>
      <c r="M27" s="228"/>
      <c r="N27" s="228"/>
      <c r="O27" s="228"/>
      <c r="P27" s="228"/>
      <c r="Q27" s="228"/>
      <c r="R27" s="228"/>
      <c r="S27" s="228"/>
      <c r="T27" s="228"/>
    </row>
    <row r="28" spans="1:20" ht="12.9" customHeight="1">
      <c r="A28" s="222"/>
      <c r="B28" s="229"/>
      <c r="C28" s="230"/>
      <c r="D28" s="230"/>
      <c r="E28" s="225"/>
      <c r="F28" s="225"/>
      <c r="G28" s="225"/>
      <c r="H28" s="225"/>
      <c r="I28" s="227"/>
      <c r="J28" s="227"/>
      <c r="K28" s="227"/>
      <c r="L28" s="228"/>
      <c r="M28" s="228"/>
      <c r="N28" s="228"/>
      <c r="O28" s="228"/>
      <c r="P28" s="228"/>
      <c r="Q28" s="228"/>
      <c r="R28" s="228"/>
      <c r="S28" s="228"/>
      <c r="T28" s="228"/>
    </row>
    <row r="29" spans="1:20" ht="12.9" customHeight="1">
      <c r="A29" s="222"/>
      <c r="B29" s="229"/>
      <c r="C29" s="230"/>
      <c r="D29" s="230"/>
      <c r="E29" s="225"/>
      <c r="F29" s="225"/>
      <c r="G29" s="225"/>
      <c r="H29" s="225"/>
      <c r="I29" s="227"/>
      <c r="J29" s="227"/>
      <c r="K29" s="227"/>
      <c r="L29" s="228"/>
      <c r="M29" s="228"/>
      <c r="N29" s="228"/>
      <c r="O29" s="228"/>
      <c r="P29" s="228"/>
      <c r="Q29" s="228"/>
      <c r="R29" s="228"/>
      <c r="S29" s="228"/>
      <c r="T29" s="228"/>
    </row>
    <row r="30" spans="1:20" ht="12.9" customHeight="1">
      <c r="A30" s="222"/>
      <c r="B30" s="229"/>
      <c r="C30" s="230"/>
      <c r="D30" s="230"/>
      <c r="E30" s="225"/>
      <c r="F30" s="225"/>
      <c r="G30" s="225"/>
      <c r="H30" s="225"/>
      <c r="I30" s="227"/>
      <c r="J30" s="227"/>
      <c r="K30" s="227"/>
      <c r="L30" s="228"/>
      <c r="M30" s="228"/>
      <c r="N30" s="228"/>
      <c r="O30" s="228"/>
      <c r="P30" s="228"/>
      <c r="Q30" s="228"/>
      <c r="R30" s="228"/>
      <c r="S30" s="228"/>
      <c r="T30" s="228"/>
    </row>
    <row r="31" spans="1:20" ht="12.9" customHeight="1">
      <c r="A31" s="222"/>
      <c r="B31" s="229"/>
      <c r="C31" s="230"/>
      <c r="D31" s="230"/>
      <c r="E31" s="225"/>
      <c r="F31" s="225"/>
      <c r="G31" s="225"/>
      <c r="H31" s="225"/>
      <c r="I31" s="227"/>
      <c r="J31" s="227"/>
      <c r="K31" s="227"/>
      <c r="L31" s="228"/>
      <c r="M31" s="228"/>
      <c r="N31" s="228"/>
      <c r="O31" s="228"/>
      <c r="P31" s="228"/>
      <c r="Q31" s="228"/>
      <c r="R31" s="228"/>
      <c r="S31" s="228"/>
      <c r="T31" s="228"/>
    </row>
    <row r="32" spans="1:20" ht="13.95" customHeight="1">
      <c r="A32" s="222"/>
      <c r="B32" s="231"/>
      <c r="C32" s="230"/>
      <c r="D32" s="230"/>
      <c r="E32" s="225"/>
      <c r="F32" s="225"/>
      <c r="G32" s="225"/>
      <c r="H32" s="225"/>
      <c r="I32" s="227"/>
      <c r="J32" s="227"/>
      <c r="K32" s="227"/>
      <c r="L32" s="228"/>
      <c r="M32" s="228"/>
      <c r="N32" s="232"/>
      <c r="O32" s="232"/>
      <c r="P32" s="232"/>
      <c r="Q32" s="232"/>
      <c r="R32" s="232"/>
      <c r="S32" s="232"/>
      <c r="T32" s="232"/>
    </row>
    <row r="33" spans="1:20" ht="12.9" customHeight="1">
      <c r="A33" s="222"/>
      <c r="B33" s="229"/>
      <c r="C33" s="224"/>
      <c r="D33" s="224"/>
      <c r="E33" s="225"/>
      <c r="F33" s="225"/>
      <c r="G33" s="225"/>
      <c r="H33" s="225"/>
      <c r="I33" s="227"/>
      <c r="J33" s="227"/>
      <c r="K33" s="227"/>
      <c r="L33" s="228"/>
      <c r="M33" s="228"/>
      <c r="N33" s="228"/>
      <c r="O33" s="228"/>
      <c r="P33" s="228"/>
      <c r="Q33" s="228"/>
      <c r="R33" s="228"/>
      <c r="S33" s="228"/>
      <c r="T33" s="228"/>
    </row>
    <row r="34" spans="1:20">
      <c r="A34" s="222"/>
      <c r="B34" s="229"/>
      <c r="C34" s="233"/>
      <c r="D34" s="233"/>
      <c r="E34" s="225"/>
      <c r="F34" s="225"/>
      <c r="G34" s="225"/>
      <c r="H34" s="225"/>
      <c r="I34" s="227"/>
      <c r="J34" s="227"/>
      <c r="K34" s="227"/>
      <c r="L34" s="228"/>
      <c r="M34" s="228"/>
      <c r="N34" s="228"/>
      <c r="O34" s="228"/>
      <c r="P34" s="228"/>
      <c r="Q34" s="228"/>
      <c r="R34" s="228"/>
      <c r="S34" s="228"/>
      <c r="T34" s="228"/>
    </row>
    <row r="35" spans="1:20" ht="12.9" customHeight="1">
      <c r="A35" s="222"/>
      <c r="B35" s="229"/>
      <c r="C35" s="233"/>
      <c r="D35" s="233"/>
      <c r="E35" s="225"/>
      <c r="F35" s="225"/>
      <c r="G35" s="225"/>
      <c r="H35" s="225"/>
      <c r="I35" s="227"/>
      <c r="J35" s="227"/>
      <c r="K35" s="227"/>
      <c r="L35" s="228"/>
      <c r="M35" s="228"/>
      <c r="N35" s="228"/>
      <c r="O35" s="228"/>
      <c r="P35" s="228"/>
      <c r="Q35" s="228"/>
      <c r="R35" s="228"/>
      <c r="S35" s="228"/>
      <c r="T35" s="228"/>
    </row>
    <row r="36" spans="1:20">
      <c r="A36" s="222"/>
      <c r="B36" s="229"/>
      <c r="C36" s="233"/>
      <c r="D36" s="233"/>
      <c r="E36" s="225"/>
      <c r="F36" s="225"/>
      <c r="G36" s="225"/>
      <c r="H36" s="225"/>
      <c r="I36" s="227"/>
      <c r="J36" s="227"/>
      <c r="K36" s="227"/>
      <c r="L36" s="228"/>
      <c r="M36" s="228"/>
      <c r="N36" s="228"/>
      <c r="O36" s="228"/>
      <c r="P36" s="228"/>
      <c r="Q36" s="228"/>
      <c r="R36" s="228"/>
      <c r="S36" s="228"/>
      <c r="T36" s="228"/>
    </row>
    <row r="37" spans="1:20" ht="12.9" customHeight="1">
      <c r="A37" s="222"/>
      <c r="B37" s="229"/>
      <c r="C37" s="233"/>
      <c r="D37" s="233"/>
      <c r="E37" s="225"/>
      <c r="F37" s="225"/>
      <c r="G37" s="225"/>
      <c r="H37" s="225"/>
      <c r="I37" s="227"/>
      <c r="J37" s="227"/>
      <c r="K37" s="227"/>
      <c r="L37" s="228"/>
      <c r="M37" s="228"/>
      <c r="N37" s="228"/>
      <c r="O37" s="228"/>
      <c r="P37" s="228"/>
      <c r="Q37" s="228"/>
      <c r="R37" s="228"/>
      <c r="S37" s="228"/>
      <c r="T37" s="228"/>
    </row>
    <row r="38" spans="1:20">
      <c r="A38" s="222"/>
      <c r="B38" s="229"/>
      <c r="C38" s="233"/>
      <c r="D38" s="233"/>
      <c r="E38" s="225"/>
      <c r="F38" s="225"/>
      <c r="G38" s="225"/>
      <c r="H38" s="225"/>
      <c r="I38" s="227"/>
      <c r="J38" s="227"/>
      <c r="K38" s="227"/>
      <c r="L38" s="228"/>
      <c r="M38" s="228"/>
      <c r="N38" s="228"/>
      <c r="O38" s="228"/>
      <c r="P38" s="228"/>
      <c r="Q38" s="228"/>
      <c r="R38" s="228"/>
      <c r="S38" s="228"/>
      <c r="T38" s="228"/>
    </row>
    <row r="39" spans="1:20" ht="12.9" customHeight="1">
      <c r="A39" s="222"/>
      <c r="B39" s="229"/>
      <c r="C39" s="233"/>
      <c r="D39" s="233"/>
      <c r="E39" s="225"/>
      <c r="F39" s="225"/>
      <c r="G39" s="225"/>
      <c r="H39" s="225"/>
      <c r="I39" s="227"/>
      <c r="J39" s="227"/>
      <c r="K39" s="227"/>
      <c r="L39" s="228"/>
      <c r="M39" s="228"/>
      <c r="N39" s="228"/>
      <c r="O39" s="228"/>
      <c r="P39" s="228"/>
      <c r="Q39" s="228"/>
      <c r="R39" s="228"/>
      <c r="S39" s="228"/>
      <c r="T39" s="228"/>
    </row>
    <row r="40" spans="1:20" ht="12.9" customHeight="1">
      <c r="A40" s="222"/>
      <c r="B40" s="229"/>
      <c r="C40" s="229"/>
      <c r="D40" s="229"/>
      <c r="E40" s="225"/>
      <c r="F40" s="225"/>
      <c r="G40" s="225"/>
      <c r="H40" s="225"/>
      <c r="I40" s="227"/>
      <c r="J40" s="227"/>
      <c r="K40" s="227"/>
      <c r="L40" s="228"/>
      <c r="M40" s="228"/>
      <c r="N40" s="228"/>
      <c r="O40" s="228"/>
      <c r="P40" s="228"/>
      <c r="Q40" s="228"/>
      <c r="R40" s="228"/>
      <c r="S40" s="228"/>
      <c r="T40" s="228"/>
    </row>
    <row r="41" spans="1:20" ht="12.9" customHeight="1">
      <c r="A41" s="222"/>
      <c r="B41" s="229"/>
      <c r="C41" s="234"/>
      <c r="D41" s="234"/>
      <c r="E41" s="229"/>
      <c r="F41" s="229"/>
      <c r="G41" s="229"/>
      <c r="H41" s="229"/>
      <c r="I41" s="228"/>
      <c r="J41" s="227"/>
      <c r="K41" s="228"/>
      <c r="L41" s="228"/>
      <c r="M41" s="228"/>
      <c r="N41" s="228"/>
      <c r="O41" s="228"/>
      <c r="P41" s="228"/>
      <c r="Q41" s="228"/>
      <c r="R41" s="228"/>
      <c r="S41" s="228"/>
      <c r="T41" s="228"/>
    </row>
    <row r="42" spans="1:20" ht="12.9" customHeight="1">
      <c r="A42" s="222"/>
      <c r="B42" s="235"/>
      <c r="C42" s="229"/>
      <c r="D42" s="229"/>
      <c r="E42" s="225"/>
      <c r="F42" s="225"/>
      <c r="G42" s="225"/>
      <c r="H42" s="225"/>
      <c r="I42" s="227"/>
      <c r="J42" s="228"/>
      <c r="K42" s="228"/>
      <c r="L42" s="228"/>
      <c r="M42" s="228"/>
      <c r="N42" s="232"/>
      <c r="O42" s="232"/>
      <c r="P42" s="232"/>
      <c r="Q42" s="232"/>
      <c r="R42" s="232"/>
      <c r="S42" s="232"/>
      <c r="T42" s="232"/>
    </row>
    <row r="43" spans="1:20" ht="13.5" customHeight="1">
      <c r="A43" s="222"/>
      <c r="B43" s="229"/>
      <c r="C43" s="233"/>
      <c r="D43" s="233"/>
      <c r="E43" s="229"/>
      <c r="F43" s="229"/>
      <c r="G43" s="229"/>
      <c r="H43" s="229"/>
      <c r="I43" s="227"/>
      <c r="J43" s="227"/>
      <c r="K43" s="228"/>
      <c r="L43" s="228"/>
      <c r="M43" s="228"/>
      <c r="N43" s="228"/>
      <c r="O43" s="228"/>
      <c r="P43" s="228"/>
      <c r="Q43" s="228"/>
      <c r="R43" s="228"/>
      <c r="S43" s="228"/>
      <c r="T43" s="228"/>
    </row>
    <row r="44" spans="1:20">
      <c r="A44" s="222"/>
      <c r="B44" s="222"/>
      <c r="C44" s="222"/>
      <c r="D44" s="222"/>
      <c r="E44" s="222"/>
      <c r="F44" s="222"/>
      <c r="G44" s="222"/>
      <c r="H44" s="222"/>
    </row>
    <row r="45" spans="1:20">
      <c r="A45" s="222"/>
      <c r="B45" s="222"/>
      <c r="C45" s="222"/>
      <c r="D45" s="222"/>
      <c r="E45" s="222"/>
      <c r="F45" s="222"/>
      <c r="G45" s="222"/>
      <c r="H45" s="222"/>
    </row>
    <row r="46" spans="1:20">
      <c r="A46" s="222"/>
      <c r="B46" s="222"/>
      <c r="C46" s="222"/>
      <c r="D46" s="222"/>
      <c r="E46" s="222"/>
      <c r="F46" s="222"/>
      <c r="G46" s="222"/>
      <c r="H46" s="222"/>
    </row>
    <row r="47" spans="1:20">
      <c r="A47" s="222"/>
      <c r="B47" s="222"/>
      <c r="C47" s="222"/>
      <c r="D47" s="222"/>
      <c r="E47" s="222"/>
      <c r="F47" s="222"/>
      <c r="G47" s="222"/>
      <c r="H47" s="222"/>
    </row>
    <row r="48" spans="1:20">
      <c r="A48" s="222"/>
      <c r="B48" s="222"/>
      <c r="C48" s="222"/>
      <c r="D48" s="222"/>
      <c r="E48" s="222"/>
      <c r="F48" s="222"/>
      <c r="G48" s="222"/>
      <c r="H48" s="222"/>
    </row>
    <row r="49" spans="1:8">
      <c r="A49" s="222"/>
      <c r="B49" s="222"/>
      <c r="C49" s="222"/>
      <c r="D49" s="222"/>
      <c r="E49" s="222"/>
      <c r="F49" s="222"/>
      <c r="G49" s="222"/>
      <c r="H49" s="222"/>
    </row>
    <row r="50" spans="1:8">
      <c r="A50" s="222"/>
      <c r="B50" s="222"/>
      <c r="C50" s="222"/>
      <c r="D50" s="222"/>
      <c r="E50" s="222"/>
      <c r="F50" s="222"/>
      <c r="G50" s="222"/>
      <c r="H50" s="222"/>
    </row>
    <row r="51" spans="1:8">
      <c r="A51" s="222"/>
      <c r="B51" s="222"/>
      <c r="C51" s="222"/>
      <c r="D51" s="222"/>
      <c r="E51" s="222"/>
      <c r="F51" s="222"/>
      <c r="G51" s="222"/>
      <c r="H51" s="222"/>
    </row>
    <row r="52" spans="1:8">
      <c r="A52" s="222"/>
      <c r="B52" s="222"/>
      <c r="C52" s="222"/>
      <c r="D52" s="222"/>
      <c r="E52" s="222"/>
      <c r="F52" s="222"/>
      <c r="G52" s="222"/>
      <c r="H52" s="222"/>
    </row>
    <row r="53" spans="1:8">
      <c r="A53" s="222"/>
      <c r="B53" s="222"/>
      <c r="C53" s="222"/>
      <c r="D53" s="222"/>
      <c r="E53" s="222"/>
      <c r="F53" s="222"/>
      <c r="G53" s="222"/>
      <c r="H53" s="222"/>
    </row>
    <row r="54" spans="1:8">
      <c r="A54" s="222"/>
      <c r="B54" s="222"/>
      <c r="C54" s="222"/>
      <c r="D54" s="222"/>
      <c r="E54" s="222"/>
      <c r="F54" s="222"/>
      <c r="G54" s="222"/>
      <c r="H54" s="222"/>
    </row>
    <row r="55" spans="1:8">
      <c r="A55" s="222"/>
      <c r="B55" s="222"/>
      <c r="C55" s="222"/>
      <c r="D55" s="222"/>
      <c r="E55" s="222"/>
      <c r="F55" s="222"/>
      <c r="G55" s="222"/>
      <c r="H55" s="222"/>
    </row>
    <row r="56" spans="1:8">
      <c r="A56" s="222"/>
      <c r="B56" s="222"/>
      <c r="C56" s="222"/>
      <c r="D56" s="222"/>
      <c r="E56" s="222"/>
      <c r="F56" s="222"/>
      <c r="G56" s="222"/>
      <c r="H56" s="222"/>
    </row>
    <row r="57" spans="1:8">
      <c r="A57" s="222"/>
      <c r="B57" s="222"/>
      <c r="C57" s="222"/>
      <c r="D57" s="222"/>
      <c r="E57" s="222"/>
      <c r="F57" s="222"/>
      <c r="G57" s="222"/>
      <c r="H57" s="222"/>
    </row>
    <row r="58" spans="1:8">
      <c r="A58" s="222"/>
      <c r="B58" s="222"/>
      <c r="C58" s="222"/>
      <c r="D58" s="222"/>
      <c r="E58" s="222"/>
      <c r="F58" s="222"/>
      <c r="G58" s="222"/>
      <c r="H58" s="222"/>
    </row>
    <row r="59" spans="1:8">
      <c r="A59" s="222"/>
      <c r="B59" s="222"/>
      <c r="C59" s="222"/>
      <c r="D59" s="222"/>
      <c r="E59" s="222"/>
      <c r="F59" s="222"/>
      <c r="G59" s="222"/>
      <c r="H59" s="222"/>
    </row>
  </sheetData>
  <mergeCells count="6">
    <mergeCell ref="A6:H6"/>
    <mergeCell ref="A1:H1"/>
    <mergeCell ref="A2:H2"/>
    <mergeCell ref="A3:H3"/>
    <mergeCell ref="A4:H4"/>
    <mergeCell ref="A5:H5"/>
  </mergeCells>
  <pageMargins left="0.511811024" right="0.511811024" top="0.78740157499999996" bottom="0.78740157499999996" header="0.31496062000000002" footer="0.31496062000000002"/>
  <pageSetup paperSize="9" scale="7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AC538-DB3F-473A-98F9-7C0F37C15941}">
  <dimension ref="A1:M51"/>
  <sheetViews>
    <sheetView view="pageBreakPreview" zoomScaleNormal="100" zoomScaleSheetLayoutView="100" workbookViewId="0">
      <selection activeCell="A7" sqref="A7:D7"/>
    </sheetView>
  </sheetViews>
  <sheetFormatPr defaultColWidth="9.109375" defaultRowHeight="13.2"/>
  <cols>
    <col min="1" max="1" width="6.33203125" style="238" customWidth="1"/>
    <col min="2" max="2" width="59.33203125" style="238" customWidth="1"/>
    <col min="3" max="3" width="9.88671875" style="239" customWidth="1"/>
    <col min="4" max="4" width="4.6640625" style="238" customWidth="1"/>
    <col min="5" max="5" width="59.5546875" style="238" customWidth="1"/>
    <col min="6" max="8" width="9.109375" style="238"/>
    <col min="9" max="9" width="2.88671875" style="238" customWidth="1"/>
    <col min="10" max="10" width="48" style="238" customWidth="1"/>
    <col min="11" max="231" width="9.109375" style="238"/>
    <col min="232" max="232" width="6.33203125" style="238" customWidth="1"/>
    <col min="233" max="233" width="12.5546875" style="238" customWidth="1"/>
    <col min="234" max="234" width="8.6640625" style="238" customWidth="1"/>
    <col min="235" max="235" width="11.6640625" style="238" customWidth="1"/>
    <col min="236" max="236" width="9.109375" style="238"/>
    <col min="237" max="237" width="2.5546875" style="238" customWidth="1"/>
    <col min="238" max="238" width="9.109375" style="238"/>
    <col min="239" max="239" width="2.6640625" style="238" customWidth="1"/>
    <col min="240" max="256" width="9.109375" style="238"/>
    <col min="257" max="257" width="6.33203125" style="238" customWidth="1"/>
    <col min="258" max="258" width="59.33203125" style="238" customWidth="1"/>
    <col min="259" max="259" width="9.88671875" style="238" customWidth="1"/>
    <col min="260" max="260" width="4.6640625" style="238" customWidth="1"/>
    <col min="261" max="261" width="59.5546875" style="238" customWidth="1"/>
    <col min="262" max="264" width="9.109375" style="238"/>
    <col min="265" max="265" width="2.88671875" style="238" customWidth="1"/>
    <col min="266" max="266" width="48" style="238" customWidth="1"/>
    <col min="267" max="487" width="9.109375" style="238"/>
    <col min="488" max="488" width="6.33203125" style="238" customWidth="1"/>
    <col min="489" max="489" width="12.5546875" style="238" customWidth="1"/>
    <col min="490" max="490" width="8.6640625" style="238" customWidth="1"/>
    <col min="491" max="491" width="11.6640625" style="238" customWidth="1"/>
    <col min="492" max="492" width="9.109375" style="238"/>
    <col min="493" max="493" width="2.5546875" style="238" customWidth="1"/>
    <col min="494" max="494" width="9.109375" style="238"/>
    <col min="495" max="495" width="2.6640625" style="238" customWidth="1"/>
    <col min="496" max="512" width="9.109375" style="238"/>
    <col min="513" max="513" width="6.33203125" style="238" customWidth="1"/>
    <col min="514" max="514" width="59.33203125" style="238" customWidth="1"/>
    <col min="515" max="515" width="9.88671875" style="238" customWidth="1"/>
    <col min="516" max="516" width="4.6640625" style="238" customWidth="1"/>
    <col min="517" max="517" width="59.5546875" style="238" customWidth="1"/>
    <col min="518" max="520" width="9.109375" style="238"/>
    <col min="521" max="521" width="2.88671875" style="238" customWidth="1"/>
    <col min="522" max="522" width="48" style="238" customWidth="1"/>
    <col min="523" max="743" width="9.109375" style="238"/>
    <col min="744" max="744" width="6.33203125" style="238" customWidth="1"/>
    <col min="745" max="745" width="12.5546875" style="238" customWidth="1"/>
    <col min="746" max="746" width="8.6640625" style="238" customWidth="1"/>
    <col min="747" max="747" width="11.6640625" style="238" customWidth="1"/>
    <col min="748" max="748" width="9.109375" style="238"/>
    <col min="749" max="749" width="2.5546875" style="238" customWidth="1"/>
    <col min="750" max="750" width="9.109375" style="238"/>
    <col min="751" max="751" width="2.6640625" style="238" customWidth="1"/>
    <col min="752" max="768" width="9.109375" style="238"/>
    <col min="769" max="769" width="6.33203125" style="238" customWidth="1"/>
    <col min="770" max="770" width="59.33203125" style="238" customWidth="1"/>
    <col min="771" max="771" width="9.88671875" style="238" customWidth="1"/>
    <col min="772" max="772" width="4.6640625" style="238" customWidth="1"/>
    <col min="773" max="773" width="59.5546875" style="238" customWidth="1"/>
    <col min="774" max="776" width="9.109375" style="238"/>
    <col min="777" max="777" width="2.88671875" style="238" customWidth="1"/>
    <col min="778" max="778" width="48" style="238" customWidth="1"/>
    <col min="779" max="999" width="9.109375" style="238"/>
    <col min="1000" max="1000" width="6.33203125" style="238" customWidth="1"/>
    <col min="1001" max="1001" width="12.5546875" style="238" customWidth="1"/>
    <col min="1002" max="1002" width="8.6640625" style="238" customWidth="1"/>
    <col min="1003" max="1003" width="11.6640625" style="238" customWidth="1"/>
    <col min="1004" max="1004" width="9.109375" style="238"/>
    <col min="1005" max="1005" width="2.5546875" style="238" customWidth="1"/>
    <col min="1006" max="1006" width="9.109375" style="238"/>
    <col min="1007" max="1007" width="2.6640625" style="238" customWidth="1"/>
    <col min="1008" max="1024" width="9.109375" style="238"/>
    <col min="1025" max="1025" width="6.33203125" style="238" customWidth="1"/>
    <col min="1026" max="1026" width="59.33203125" style="238" customWidth="1"/>
    <col min="1027" max="1027" width="9.88671875" style="238" customWidth="1"/>
    <col min="1028" max="1028" width="4.6640625" style="238" customWidth="1"/>
    <col min="1029" max="1029" width="59.5546875" style="238" customWidth="1"/>
    <col min="1030" max="1032" width="9.109375" style="238"/>
    <col min="1033" max="1033" width="2.88671875" style="238" customWidth="1"/>
    <col min="1034" max="1034" width="48" style="238" customWidth="1"/>
    <col min="1035" max="1255" width="9.109375" style="238"/>
    <col min="1256" max="1256" width="6.33203125" style="238" customWidth="1"/>
    <col min="1257" max="1257" width="12.5546875" style="238" customWidth="1"/>
    <col min="1258" max="1258" width="8.6640625" style="238" customWidth="1"/>
    <col min="1259" max="1259" width="11.6640625" style="238" customWidth="1"/>
    <col min="1260" max="1260" width="9.109375" style="238"/>
    <col min="1261" max="1261" width="2.5546875" style="238" customWidth="1"/>
    <col min="1262" max="1262" width="9.109375" style="238"/>
    <col min="1263" max="1263" width="2.6640625" style="238" customWidth="1"/>
    <col min="1264" max="1280" width="9.109375" style="238"/>
    <col min="1281" max="1281" width="6.33203125" style="238" customWidth="1"/>
    <col min="1282" max="1282" width="59.33203125" style="238" customWidth="1"/>
    <col min="1283" max="1283" width="9.88671875" style="238" customWidth="1"/>
    <col min="1284" max="1284" width="4.6640625" style="238" customWidth="1"/>
    <col min="1285" max="1285" width="59.5546875" style="238" customWidth="1"/>
    <col min="1286" max="1288" width="9.109375" style="238"/>
    <col min="1289" max="1289" width="2.88671875" style="238" customWidth="1"/>
    <col min="1290" max="1290" width="48" style="238" customWidth="1"/>
    <col min="1291" max="1511" width="9.109375" style="238"/>
    <col min="1512" max="1512" width="6.33203125" style="238" customWidth="1"/>
    <col min="1513" max="1513" width="12.5546875" style="238" customWidth="1"/>
    <col min="1514" max="1514" width="8.6640625" style="238" customWidth="1"/>
    <col min="1515" max="1515" width="11.6640625" style="238" customWidth="1"/>
    <col min="1516" max="1516" width="9.109375" style="238"/>
    <col min="1517" max="1517" width="2.5546875" style="238" customWidth="1"/>
    <col min="1518" max="1518" width="9.109375" style="238"/>
    <col min="1519" max="1519" width="2.6640625" style="238" customWidth="1"/>
    <col min="1520" max="1536" width="9.109375" style="238"/>
    <col min="1537" max="1537" width="6.33203125" style="238" customWidth="1"/>
    <col min="1538" max="1538" width="59.33203125" style="238" customWidth="1"/>
    <col min="1539" max="1539" width="9.88671875" style="238" customWidth="1"/>
    <col min="1540" max="1540" width="4.6640625" style="238" customWidth="1"/>
    <col min="1541" max="1541" width="59.5546875" style="238" customWidth="1"/>
    <col min="1542" max="1544" width="9.109375" style="238"/>
    <col min="1545" max="1545" width="2.88671875" style="238" customWidth="1"/>
    <col min="1546" max="1546" width="48" style="238" customWidth="1"/>
    <col min="1547" max="1767" width="9.109375" style="238"/>
    <col min="1768" max="1768" width="6.33203125" style="238" customWidth="1"/>
    <col min="1769" max="1769" width="12.5546875" style="238" customWidth="1"/>
    <col min="1770" max="1770" width="8.6640625" style="238" customWidth="1"/>
    <col min="1771" max="1771" width="11.6640625" style="238" customWidth="1"/>
    <col min="1772" max="1772" width="9.109375" style="238"/>
    <col min="1773" max="1773" width="2.5546875" style="238" customWidth="1"/>
    <col min="1774" max="1774" width="9.109375" style="238"/>
    <col min="1775" max="1775" width="2.6640625" style="238" customWidth="1"/>
    <col min="1776" max="1792" width="9.109375" style="238"/>
    <col min="1793" max="1793" width="6.33203125" style="238" customWidth="1"/>
    <col min="1794" max="1794" width="59.33203125" style="238" customWidth="1"/>
    <col min="1795" max="1795" width="9.88671875" style="238" customWidth="1"/>
    <col min="1796" max="1796" width="4.6640625" style="238" customWidth="1"/>
    <col min="1797" max="1797" width="59.5546875" style="238" customWidth="1"/>
    <col min="1798" max="1800" width="9.109375" style="238"/>
    <col min="1801" max="1801" width="2.88671875" style="238" customWidth="1"/>
    <col min="1802" max="1802" width="48" style="238" customWidth="1"/>
    <col min="1803" max="2023" width="9.109375" style="238"/>
    <col min="2024" max="2024" width="6.33203125" style="238" customWidth="1"/>
    <col min="2025" max="2025" width="12.5546875" style="238" customWidth="1"/>
    <col min="2026" max="2026" width="8.6640625" style="238" customWidth="1"/>
    <col min="2027" max="2027" width="11.6640625" style="238" customWidth="1"/>
    <col min="2028" max="2028" width="9.109375" style="238"/>
    <col min="2029" max="2029" width="2.5546875" style="238" customWidth="1"/>
    <col min="2030" max="2030" width="9.109375" style="238"/>
    <col min="2031" max="2031" width="2.6640625" style="238" customWidth="1"/>
    <col min="2032" max="2048" width="9.109375" style="238"/>
    <col min="2049" max="2049" width="6.33203125" style="238" customWidth="1"/>
    <col min="2050" max="2050" width="59.33203125" style="238" customWidth="1"/>
    <col min="2051" max="2051" width="9.88671875" style="238" customWidth="1"/>
    <col min="2052" max="2052" width="4.6640625" style="238" customWidth="1"/>
    <col min="2053" max="2053" width="59.5546875" style="238" customWidth="1"/>
    <col min="2054" max="2056" width="9.109375" style="238"/>
    <col min="2057" max="2057" width="2.88671875" style="238" customWidth="1"/>
    <col min="2058" max="2058" width="48" style="238" customWidth="1"/>
    <col min="2059" max="2279" width="9.109375" style="238"/>
    <col min="2280" max="2280" width="6.33203125" style="238" customWidth="1"/>
    <col min="2281" max="2281" width="12.5546875" style="238" customWidth="1"/>
    <col min="2282" max="2282" width="8.6640625" style="238" customWidth="1"/>
    <col min="2283" max="2283" width="11.6640625" style="238" customWidth="1"/>
    <col min="2284" max="2284" width="9.109375" style="238"/>
    <col min="2285" max="2285" width="2.5546875" style="238" customWidth="1"/>
    <col min="2286" max="2286" width="9.109375" style="238"/>
    <col min="2287" max="2287" width="2.6640625" style="238" customWidth="1"/>
    <col min="2288" max="2304" width="9.109375" style="238"/>
    <col min="2305" max="2305" width="6.33203125" style="238" customWidth="1"/>
    <col min="2306" max="2306" width="59.33203125" style="238" customWidth="1"/>
    <col min="2307" max="2307" width="9.88671875" style="238" customWidth="1"/>
    <col min="2308" max="2308" width="4.6640625" style="238" customWidth="1"/>
    <col min="2309" max="2309" width="59.5546875" style="238" customWidth="1"/>
    <col min="2310" max="2312" width="9.109375" style="238"/>
    <col min="2313" max="2313" width="2.88671875" style="238" customWidth="1"/>
    <col min="2314" max="2314" width="48" style="238" customWidth="1"/>
    <col min="2315" max="2535" width="9.109375" style="238"/>
    <col min="2536" max="2536" width="6.33203125" style="238" customWidth="1"/>
    <col min="2537" max="2537" width="12.5546875" style="238" customWidth="1"/>
    <col min="2538" max="2538" width="8.6640625" style="238" customWidth="1"/>
    <col min="2539" max="2539" width="11.6640625" style="238" customWidth="1"/>
    <col min="2540" max="2540" width="9.109375" style="238"/>
    <col min="2541" max="2541" width="2.5546875" style="238" customWidth="1"/>
    <col min="2542" max="2542" width="9.109375" style="238"/>
    <col min="2543" max="2543" width="2.6640625" style="238" customWidth="1"/>
    <col min="2544" max="2560" width="9.109375" style="238"/>
    <col min="2561" max="2561" width="6.33203125" style="238" customWidth="1"/>
    <col min="2562" max="2562" width="59.33203125" style="238" customWidth="1"/>
    <col min="2563" max="2563" width="9.88671875" style="238" customWidth="1"/>
    <col min="2564" max="2564" width="4.6640625" style="238" customWidth="1"/>
    <col min="2565" max="2565" width="59.5546875" style="238" customWidth="1"/>
    <col min="2566" max="2568" width="9.109375" style="238"/>
    <col min="2569" max="2569" width="2.88671875" style="238" customWidth="1"/>
    <col min="2570" max="2570" width="48" style="238" customWidth="1"/>
    <col min="2571" max="2791" width="9.109375" style="238"/>
    <col min="2792" max="2792" width="6.33203125" style="238" customWidth="1"/>
    <col min="2793" max="2793" width="12.5546875" style="238" customWidth="1"/>
    <col min="2794" max="2794" width="8.6640625" style="238" customWidth="1"/>
    <col min="2795" max="2795" width="11.6640625" style="238" customWidth="1"/>
    <col min="2796" max="2796" width="9.109375" style="238"/>
    <col min="2797" max="2797" width="2.5546875" style="238" customWidth="1"/>
    <col min="2798" max="2798" width="9.109375" style="238"/>
    <col min="2799" max="2799" width="2.6640625" style="238" customWidth="1"/>
    <col min="2800" max="2816" width="9.109375" style="238"/>
    <col min="2817" max="2817" width="6.33203125" style="238" customWidth="1"/>
    <col min="2818" max="2818" width="59.33203125" style="238" customWidth="1"/>
    <col min="2819" max="2819" width="9.88671875" style="238" customWidth="1"/>
    <col min="2820" max="2820" width="4.6640625" style="238" customWidth="1"/>
    <col min="2821" max="2821" width="59.5546875" style="238" customWidth="1"/>
    <col min="2822" max="2824" width="9.109375" style="238"/>
    <col min="2825" max="2825" width="2.88671875" style="238" customWidth="1"/>
    <col min="2826" max="2826" width="48" style="238" customWidth="1"/>
    <col min="2827" max="3047" width="9.109375" style="238"/>
    <col min="3048" max="3048" width="6.33203125" style="238" customWidth="1"/>
    <col min="3049" max="3049" width="12.5546875" style="238" customWidth="1"/>
    <col min="3050" max="3050" width="8.6640625" style="238" customWidth="1"/>
    <col min="3051" max="3051" width="11.6640625" style="238" customWidth="1"/>
    <col min="3052" max="3052" width="9.109375" style="238"/>
    <col min="3053" max="3053" width="2.5546875" style="238" customWidth="1"/>
    <col min="3054" max="3054" width="9.109375" style="238"/>
    <col min="3055" max="3055" width="2.6640625" style="238" customWidth="1"/>
    <col min="3056" max="3072" width="9.109375" style="238"/>
    <col min="3073" max="3073" width="6.33203125" style="238" customWidth="1"/>
    <col min="3074" max="3074" width="59.33203125" style="238" customWidth="1"/>
    <col min="3075" max="3075" width="9.88671875" style="238" customWidth="1"/>
    <col min="3076" max="3076" width="4.6640625" style="238" customWidth="1"/>
    <col min="3077" max="3077" width="59.5546875" style="238" customWidth="1"/>
    <col min="3078" max="3080" width="9.109375" style="238"/>
    <col min="3081" max="3081" width="2.88671875" style="238" customWidth="1"/>
    <col min="3082" max="3082" width="48" style="238" customWidth="1"/>
    <col min="3083" max="3303" width="9.109375" style="238"/>
    <col min="3304" max="3304" width="6.33203125" style="238" customWidth="1"/>
    <col min="3305" max="3305" width="12.5546875" style="238" customWidth="1"/>
    <col min="3306" max="3306" width="8.6640625" style="238" customWidth="1"/>
    <col min="3307" max="3307" width="11.6640625" style="238" customWidth="1"/>
    <col min="3308" max="3308" width="9.109375" style="238"/>
    <col min="3309" max="3309" width="2.5546875" style="238" customWidth="1"/>
    <col min="3310" max="3310" width="9.109375" style="238"/>
    <col min="3311" max="3311" width="2.6640625" style="238" customWidth="1"/>
    <col min="3312" max="3328" width="9.109375" style="238"/>
    <col min="3329" max="3329" width="6.33203125" style="238" customWidth="1"/>
    <col min="3330" max="3330" width="59.33203125" style="238" customWidth="1"/>
    <col min="3331" max="3331" width="9.88671875" style="238" customWidth="1"/>
    <col min="3332" max="3332" width="4.6640625" style="238" customWidth="1"/>
    <col min="3333" max="3333" width="59.5546875" style="238" customWidth="1"/>
    <col min="3334" max="3336" width="9.109375" style="238"/>
    <col min="3337" max="3337" width="2.88671875" style="238" customWidth="1"/>
    <col min="3338" max="3338" width="48" style="238" customWidth="1"/>
    <col min="3339" max="3559" width="9.109375" style="238"/>
    <col min="3560" max="3560" width="6.33203125" style="238" customWidth="1"/>
    <col min="3561" max="3561" width="12.5546875" style="238" customWidth="1"/>
    <col min="3562" max="3562" width="8.6640625" style="238" customWidth="1"/>
    <col min="3563" max="3563" width="11.6640625" style="238" customWidth="1"/>
    <col min="3564" max="3564" width="9.109375" style="238"/>
    <col min="3565" max="3565" width="2.5546875" style="238" customWidth="1"/>
    <col min="3566" max="3566" width="9.109375" style="238"/>
    <col min="3567" max="3567" width="2.6640625" style="238" customWidth="1"/>
    <col min="3568" max="3584" width="9.109375" style="238"/>
    <col min="3585" max="3585" width="6.33203125" style="238" customWidth="1"/>
    <col min="3586" max="3586" width="59.33203125" style="238" customWidth="1"/>
    <col min="3587" max="3587" width="9.88671875" style="238" customWidth="1"/>
    <col min="3588" max="3588" width="4.6640625" style="238" customWidth="1"/>
    <col min="3589" max="3589" width="59.5546875" style="238" customWidth="1"/>
    <col min="3590" max="3592" width="9.109375" style="238"/>
    <col min="3593" max="3593" width="2.88671875" style="238" customWidth="1"/>
    <col min="3594" max="3594" width="48" style="238" customWidth="1"/>
    <col min="3595" max="3815" width="9.109375" style="238"/>
    <col min="3816" max="3816" width="6.33203125" style="238" customWidth="1"/>
    <col min="3817" max="3817" width="12.5546875" style="238" customWidth="1"/>
    <col min="3818" max="3818" width="8.6640625" style="238" customWidth="1"/>
    <col min="3819" max="3819" width="11.6640625" style="238" customWidth="1"/>
    <col min="3820" max="3820" width="9.109375" style="238"/>
    <col min="3821" max="3821" width="2.5546875" style="238" customWidth="1"/>
    <col min="3822" max="3822" width="9.109375" style="238"/>
    <col min="3823" max="3823" width="2.6640625" style="238" customWidth="1"/>
    <col min="3824" max="3840" width="9.109375" style="238"/>
    <col min="3841" max="3841" width="6.33203125" style="238" customWidth="1"/>
    <col min="3842" max="3842" width="59.33203125" style="238" customWidth="1"/>
    <col min="3843" max="3843" width="9.88671875" style="238" customWidth="1"/>
    <col min="3844" max="3844" width="4.6640625" style="238" customWidth="1"/>
    <col min="3845" max="3845" width="59.5546875" style="238" customWidth="1"/>
    <col min="3846" max="3848" width="9.109375" style="238"/>
    <col min="3849" max="3849" width="2.88671875" style="238" customWidth="1"/>
    <col min="3850" max="3850" width="48" style="238" customWidth="1"/>
    <col min="3851" max="4071" width="9.109375" style="238"/>
    <col min="4072" max="4072" width="6.33203125" style="238" customWidth="1"/>
    <col min="4073" max="4073" width="12.5546875" style="238" customWidth="1"/>
    <col min="4074" max="4074" width="8.6640625" style="238" customWidth="1"/>
    <col min="4075" max="4075" width="11.6640625" style="238" customWidth="1"/>
    <col min="4076" max="4076" width="9.109375" style="238"/>
    <col min="4077" max="4077" width="2.5546875" style="238" customWidth="1"/>
    <col min="4078" max="4078" width="9.109375" style="238"/>
    <col min="4079" max="4079" width="2.6640625" style="238" customWidth="1"/>
    <col min="4080" max="4096" width="9.109375" style="238"/>
    <col min="4097" max="4097" width="6.33203125" style="238" customWidth="1"/>
    <col min="4098" max="4098" width="59.33203125" style="238" customWidth="1"/>
    <col min="4099" max="4099" width="9.88671875" style="238" customWidth="1"/>
    <col min="4100" max="4100" width="4.6640625" style="238" customWidth="1"/>
    <col min="4101" max="4101" width="59.5546875" style="238" customWidth="1"/>
    <col min="4102" max="4104" width="9.109375" style="238"/>
    <col min="4105" max="4105" width="2.88671875" style="238" customWidth="1"/>
    <col min="4106" max="4106" width="48" style="238" customWidth="1"/>
    <col min="4107" max="4327" width="9.109375" style="238"/>
    <col min="4328" max="4328" width="6.33203125" style="238" customWidth="1"/>
    <col min="4329" max="4329" width="12.5546875" style="238" customWidth="1"/>
    <col min="4330" max="4330" width="8.6640625" style="238" customWidth="1"/>
    <col min="4331" max="4331" width="11.6640625" style="238" customWidth="1"/>
    <col min="4332" max="4332" width="9.109375" style="238"/>
    <col min="4333" max="4333" width="2.5546875" style="238" customWidth="1"/>
    <col min="4334" max="4334" width="9.109375" style="238"/>
    <col min="4335" max="4335" width="2.6640625" style="238" customWidth="1"/>
    <col min="4336" max="4352" width="9.109375" style="238"/>
    <col min="4353" max="4353" width="6.33203125" style="238" customWidth="1"/>
    <col min="4354" max="4354" width="59.33203125" style="238" customWidth="1"/>
    <col min="4355" max="4355" width="9.88671875" style="238" customWidth="1"/>
    <col min="4356" max="4356" width="4.6640625" style="238" customWidth="1"/>
    <col min="4357" max="4357" width="59.5546875" style="238" customWidth="1"/>
    <col min="4358" max="4360" width="9.109375" style="238"/>
    <col min="4361" max="4361" width="2.88671875" style="238" customWidth="1"/>
    <col min="4362" max="4362" width="48" style="238" customWidth="1"/>
    <col min="4363" max="4583" width="9.109375" style="238"/>
    <col min="4584" max="4584" width="6.33203125" style="238" customWidth="1"/>
    <col min="4585" max="4585" width="12.5546875" style="238" customWidth="1"/>
    <col min="4586" max="4586" width="8.6640625" style="238" customWidth="1"/>
    <col min="4587" max="4587" width="11.6640625" style="238" customWidth="1"/>
    <col min="4588" max="4588" width="9.109375" style="238"/>
    <col min="4589" max="4589" width="2.5546875" style="238" customWidth="1"/>
    <col min="4590" max="4590" width="9.109375" style="238"/>
    <col min="4591" max="4591" width="2.6640625" style="238" customWidth="1"/>
    <col min="4592" max="4608" width="9.109375" style="238"/>
    <col min="4609" max="4609" width="6.33203125" style="238" customWidth="1"/>
    <col min="4610" max="4610" width="59.33203125" style="238" customWidth="1"/>
    <col min="4611" max="4611" width="9.88671875" style="238" customWidth="1"/>
    <col min="4612" max="4612" width="4.6640625" style="238" customWidth="1"/>
    <col min="4613" max="4613" width="59.5546875" style="238" customWidth="1"/>
    <col min="4614" max="4616" width="9.109375" style="238"/>
    <col min="4617" max="4617" width="2.88671875" style="238" customWidth="1"/>
    <col min="4618" max="4618" width="48" style="238" customWidth="1"/>
    <col min="4619" max="4839" width="9.109375" style="238"/>
    <col min="4840" max="4840" width="6.33203125" style="238" customWidth="1"/>
    <col min="4841" max="4841" width="12.5546875" style="238" customWidth="1"/>
    <col min="4842" max="4842" width="8.6640625" style="238" customWidth="1"/>
    <col min="4843" max="4843" width="11.6640625" style="238" customWidth="1"/>
    <col min="4844" max="4844" width="9.109375" style="238"/>
    <col min="4845" max="4845" width="2.5546875" style="238" customWidth="1"/>
    <col min="4846" max="4846" width="9.109375" style="238"/>
    <col min="4847" max="4847" width="2.6640625" style="238" customWidth="1"/>
    <col min="4848" max="4864" width="9.109375" style="238"/>
    <col min="4865" max="4865" width="6.33203125" style="238" customWidth="1"/>
    <col min="4866" max="4866" width="59.33203125" style="238" customWidth="1"/>
    <col min="4867" max="4867" width="9.88671875" style="238" customWidth="1"/>
    <col min="4868" max="4868" width="4.6640625" style="238" customWidth="1"/>
    <col min="4869" max="4869" width="59.5546875" style="238" customWidth="1"/>
    <col min="4870" max="4872" width="9.109375" style="238"/>
    <col min="4873" max="4873" width="2.88671875" style="238" customWidth="1"/>
    <col min="4874" max="4874" width="48" style="238" customWidth="1"/>
    <col min="4875" max="5095" width="9.109375" style="238"/>
    <col min="5096" max="5096" width="6.33203125" style="238" customWidth="1"/>
    <col min="5097" max="5097" width="12.5546875" style="238" customWidth="1"/>
    <col min="5098" max="5098" width="8.6640625" style="238" customWidth="1"/>
    <col min="5099" max="5099" width="11.6640625" style="238" customWidth="1"/>
    <col min="5100" max="5100" width="9.109375" style="238"/>
    <col min="5101" max="5101" width="2.5546875" style="238" customWidth="1"/>
    <col min="5102" max="5102" width="9.109375" style="238"/>
    <col min="5103" max="5103" width="2.6640625" style="238" customWidth="1"/>
    <col min="5104" max="5120" width="9.109375" style="238"/>
    <col min="5121" max="5121" width="6.33203125" style="238" customWidth="1"/>
    <col min="5122" max="5122" width="59.33203125" style="238" customWidth="1"/>
    <col min="5123" max="5123" width="9.88671875" style="238" customWidth="1"/>
    <col min="5124" max="5124" width="4.6640625" style="238" customWidth="1"/>
    <col min="5125" max="5125" width="59.5546875" style="238" customWidth="1"/>
    <col min="5126" max="5128" width="9.109375" style="238"/>
    <col min="5129" max="5129" width="2.88671875" style="238" customWidth="1"/>
    <col min="5130" max="5130" width="48" style="238" customWidth="1"/>
    <col min="5131" max="5351" width="9.109375" style="238"/>
    <col min="5352" max="5352" width="6.33203125" style="238" customWidth="1"/>
    <col min="5353" max="5353" width="12.5546875" style="238" customWidth="1"/>
    <col min="5354" max="5354" width="8.6640625" style="238" customWidth="1"/>
    <col min="5355" max="5355" width="11.6640625" style="238" customWidth="1"/>
    <col min="5356" max="5356" width="9.109375" style="238"/>
    <col min="5357" max="5357" width="2.5546875" style="238" customWidth="1"/>
    <col min="5358" max="5358" width="9.109375" style="238"/>
    <col min="5359" max="5359" width="2.6640625" style="238" customWidth="1"/>
    <col min="5360" max="5376" width="9.109375" style="238"/>
    <col min="5377" max="5377" width="6.33203125" style="238" customWidth="1"/>
    <col min="5378" max="5378" width="59.33203125" style="238" customWidth="1"/>
    <col min="5379" max="5379" width="9.88671875" style="238" customWidth="1"/>
    <col min="5380" max="5380" width="4.6640625" style="238" customWidth="1"/>
    <col min="5381" max="5381" width="59.5546875" style="238" customWidth="1"/>
    <col min="5382" max="5384" width="9.109375" style="238"/>
    <col min="5385" max="5385" width="2.88671875" style="238" customWidth="1"/>
    <col min="5386" max="5386" width="48" style="238" customWidth="1"/>
    <col min="5387" max="5607" width="9.109375" style="238"/>
    <col min="5608" max="5608" width="6.33203125" style="238" customWidth="1"/>
    <col min="5609" max="5609" width="12.5546875" style="238" customWidth="1"/>
    <col min="5610" max="5610" width="8.6640625" style="238" customWidth="1"/>
    <col min="5611" max="5611" width="11.6640625" style="238" customWidth="1"/>
    <col min="5612" max="5612" width="9.109375" style="238"/>
    <col min="5613" max="5613" width="2.5546875" style="238" customWidth="1"/>
    <col min="5614" max="5614" width="9.109375" style="238"/>
    <col min="5615" max="5615" width="2.6640625" style="238" customWidth="1"/>
    <col min="5616" max="5632" width="9.109375" style="238"/>
    <col min="5633" max="5633" width="6.33203125" style="238" customWidth="1"/>
    <col min="5634" max="5634" width="59.33203125" style="238" customWidth="1"/>
    <col min="5635" max="5635" width="9.88671875" style="238" customWidth="1"/>
    <col min="5636" max="5636" width="4.6640625" style="238" customWidth="1"/>
    <col min="5637" max="5637" width="59.5546875" style="238" customWidth="1"/>
    <col min="5638" max="5640" width="9.109375" style="238"/>
    <col min="5641" max="5641" width="2.88671875" style="238" customWidth="1"/>
    <col min="5642" max="5642" width="48" style="238" customWidth="1"/>
    <col min="5643" max="5863" width="9.109375" style="238"/>
    <col min="5864" max="5864" width="6.33203125" style="238" customWidth="1"/>
    <col min="5865" max="5865" width="12.5546875" style="238" customWidth="1"/>
    <col min="5866" max="5866" width="8.6640625" style="238" customWidth="1"/>
    <col min="5867" max="5867" width="11.6640625" style="238" customWidth="1"/>
    <col min="5868" max="5868" width="9.109375" style="238"/>
    <col min="5869" max="5869" width="2.5546875" style="238" customWidth="1"/>
    <col min="5870" max="5870" width="9.109375" style="238"/>
    <col min="5871" max="5871" width="2.6640625" style="238" customWidth="1"/>
    <col min="5872" max="5888" width="9.109375" style="238"/>
    <col min="5889" max="5889" width="6.33203125" style="238" customWidth="1"/>
    <col min="5890" max="5890" width="59.33203125" style="238" customWidth="1"/>
    <col min="5891" max="5891" width="9.88671875" style="238" customWidth="1"/>
    <col min="5892" max="5892" width="4.6640625" style="238" customWidth="1"/>
    <col min="5893" max="5893" width="59.5546875" style="238" customWidth="1"/>
    <col min="5894" max="5896" width="9.109375" style="238"/>
    <col min="5897" max="5897" width="2.88671875" style="238" customWidth="1"/>
    <col min="5898" max="5898" width="48" style="238" customWidth="1"/>
    <col min="5899" max="6119" width="9.109375" style="238"/>
    <col min="6120" max="6120" width="6.33203125" style="238" customWidth="1"/>
    <col min="6121" max="6121" width="12.5546875" style="238" customWidth="1"/>
    <col min="6122" max="6122" width="8.6640625" style="238" customWidth="1"/>
    <col min="6123" max="6123" width="11.6640625" style="238" customWidth="1"/>
    <col min="6124" max="6124" width="9.109375" style="238"/>
    <col min="6125" max="6125" width="2.5546875" style="238" customWidth="1"/>
    <col min="6126" max="6126" width="9.109375" style="238"/>
    <col min="6127" max="6127" width="2.6640625" style="238" customWidth="1"/>
    <col min="6128" max="6144" width="9.109375" style="238"/>
    <col min="6145" max="6145" width="6.33203125" style="238" customWidth="1"/>
    <col min="6146" max="6146" width="59.33203125" style="238" customWidth="1"/>
    <col min="6147" max="6147" width="9.88671875" style="238" customWidth="1"/>
    <col min="6148" max="6148" width="4.6640625" style="238" customWidth="1"/>
    <col min="6149" max="6149" width="59.5546875" style="238" customWidth="1"/>
    <col min="6150" max="6152" width="9.109375" style="238"/>
    <col min="6153" max="6153" width="2.88671875" style="238" customWidth="1"/>
    <col min="6154" max="6154" width="48" style="238" customWidth="1"/>
    <col min="6155" max="6375" width="9.109375" style="238"/>
    <col min="6376" max="6376" width="6.33203125" style="238" customWidth="1"/>
    <col min="6377" max="6377" width="12.5546875" style="238" customWidth="1"/>
    <col min="6378" max="6378" width="8.6640625" style="238" customWidth="1"/>
    <col min="6379" max="6379" width="11.6640625" style="238" customWidth="1"/>
    <col min="6380" max="6380" width="9.109375" style="238"/>
    <col min="6381" max="6381" width="2.5546875" style="238" customWidth="1"/>
    <col min="6382" max="6382" width="9.109375" style="238"/>
    <col min="6383" max="6383" width="2.6640625" style="238" customWidth="1"/>
    <col min="6384" max="6400" width="9.109375" style="238"/>
    <col min="6401" max="6401" width="6.33203125" style="238" customWidth="1"/>
    <col min="6402" max="6402" width="59.33203125" style="238" customWidth="1"/>
    <col min="6403" max="6403" width="9.88671875" style="238" customWidth="1"/>
    <col min="6404" max="6404" width="4.6640625" style="238" customWidth="1"/>
    <col min="6405" max="6405" width="59.5546875" style="238" customWidth="1"/>
    <col min="6406" max="6408" width="9.109375" style="238"/>
    <col min="6409" max="6409" width="2.88671875" style="238" customWidth="1"/>
    <col min="6410" max="6410" width="48" style="238" customWidth="1"/>
    <col min="6411" max="6631" width="9.109375" style="238"/>
    <col min="6632" max="6632" width="6.33203125" style="238" customWidth="1"/>
    <col min="6633" max="6633" width="12.5546875" style="238" customWidth="1"/>
    <col min="6634" max="6634" width="8.6640625" style="238" customWidth="1"/>
    <col min="6635" max="6635" width="11.6640625" style="238" customWidth="1"/>
    <col min="6636" max="6636" width="9.109375" style="238"/>
    <col min="6637" max="6637" width="2.5546875" style="238" customWidth="1"/>
    <col min="6638" max="6638" width="9.109375" style="238"/>
    <col min="6639" max="6639" width="2.6640625" style="238" customWidth="1"/>
    <col min="6640" max="6656" width="9.109375" style="238"/>
    <col min="6657" max="6657" width="6.33203125" style="238" customWidth="1"/>
    <col min="6658" max="6658" width="59.33203125" style="238" customWidth="1"/>
    <col min="6659" max="6659" width="9.88671875" style="238" customWidth="1"/>
    <col min="6660" max="6660" width="4.6640625" style="238" customWidth="1"/>
    <col min="6661" max="6661" width="59.5546875" style="238" customWidth="1"/>
    <col min="6662" max="6664" width="9.109375" style="238"/>
    <col min="6665" max="6665" width="2.88671875" style="238" customWidth="1"/>
    <col min="6666" max="6666" width="48" style="238" customWidth="1"/>
    <col min="6667" max="6887" width="9.109375" style="238"/>
    <col min="6888" max="6888" width="6.33203125" style="238" customWidth="1"/>
    <col min="6889" max="6889" width="12.5546875" style="238" customWidth="1"/>
    <col min="6890" max="6890" width="8.6640625" style="238" customWidth="1"/>
    <col min="6891" max="6891" width="11.6640625" style="238" customWidth="1"/>
    <col min="6892" max="6892" width="9.109375" style="238"/>
    <col min="6893" max="6893" width="2.5546875" style="238" customWidth="1"/>
    <col min="6894" max="6894" width="9.109375" style="238"/>
    <col min="6895" max="6895" width="2.6640625" style="238" customWidth="1"/>
    <col min="6896" max="6912" width="9.109375" style="238"/>
    <col min="6913" max="6913" width="6.33203125" style="238" customWidth="1"/>
    <col min="6914" max="6914" width="59.33203125" style="238" customWidth="1"/>
    <col min="6915" max="6915" width="9.88671875" style="238" customWidth="1"/>
    <col min="6916" max="6916" width="4.6640625" style="238" customWidth="1"/>
    <col min="6917" max="6917" width="59.5546875" style="238" customWidth="1"/>
    <col min="6918" max="6920" width="9.109375" style="238"/>
    <col min="6921" max="6921" width="2.88671875" style="238" customWidth="1"/>
    <col min="6922" max="6922" width="48" style="238" customWidth="1"/>
    <col min="6923" max="7143" width="9.109375" style="238"/>
    <col min="7144" max="7144" width="6.33203125" style="238" customWidth="1"/>
    <col min="7145" max="7145" width="12.5546875" style="238" customWidth="1"/>
    <col min="7146" max="7146" width="8.6640625" style="238" customWidth="1"/>
    <col min="7147" max="7147" width="11.6640625" style="238" customWidth="1"/>
    <col min="7148" max="7148" width="9.109375" style="238"/>
    <col min="7149" max="7149" width="2.5546875" style="238" customWidth="1"/>
    <col min="7150" max="7150" width="9.109375" style="238"/>
    <col min="7151" max="7151" width="2.6640625" style="238" customWidth="1"/>
    <col min="7152" max="7168" width="9.109375" style="238"/>
    <col min="7169" max="7169" width="6.33203125" style="238" customWidth="1"/>
    <col min="7170" max="7170" width="59.33203125" style="238" customWidth="1"/>
    <col min="7171" max="7171" width="9.88671875" style="238" customWidth="1"/>
    <col min="7172" max="7172" width="4.6640625" style="238" customWidth="1"/>
    <col min="7173" max="7173" width="59.5546875" style="238" customWidth="1"/>
    <col min="7174" max="7176" width="9.109375" style="238"/>
    <col min="7177" max="7177" width="2.88671875" style="238" customWidth="1"/>
    <col min="7178" max="7178" width="48" style="238" customWidth="1"/>
    <col min="7179" max="7399" width="9.109375" style="238"/>
    <col min="7400" max="7400" width="6.33203125" style="238" customWidth="1"/>
    <col min="7401" max="7401" width="12.5546875" style="238" customWidth="1"/>
    <col min="7402" max="7402" width="8.6640625" style="238" customWidth="1"/>
    <col min="7403" max="7403" width="11.6640625" style="238" customWidth="1"/>
    <col min="7404" max="7404" width="9.109375" style="238"/>
    <col min="7405" max="7405" width="2.5546875" style="238" customWidth="1"/>
    <col min="7406" max="7406" width="9.109375" style="238"/>
    <col min="7407" max="7407" width="2.6640625" style="238" customWidth="1"/>
    <col min="7408" max="7424" width="9.109375" style="238"/>
    <col min="7425" max="7425" width="6.33203125" style="238" customWidth="1"/>
    <col min="7426" max="7426" width="59.33203125" style="238" customWidth="1"/>
    <col min="7427" max="7427" width="9.88671875" style="238" customWidth="1"/>
    <col min="7428" max="7428" width="4.6640625" style="238" customWidth="1"/>
    <col min="7429" max="7429" width="59.5546875" style="238" customWidth="1"/>
    <col min="7430" max="7432" width="9.109375" style="238"/>
    <col min="7433" max="7433" width="2.88671875" style="238" customWidth="1"/>
    <col min="7434" max="7434" width="48" style="238" customWidth="1"/>
    <col min="7435" max="7655" width="9.109375" style="238"/>
    <col min="7656" max="7656" width="6.33203125" style="238" customWidth="1"/>
    <col min="7657" max="7657" width="12.5546875" style="238" customWidth="1"/>
    <col min="7658" max="7658" width="8.6640625" style="238" customWidth="1"/>
    <col min="7659" max="7659" width="11.6640625" style="238" customWidth="1"/>
    <col min="7660" max="7660" width="9.109375" style="238"/>
    <col min="7661" max="7661" width="2.5546875" style="238" customWidth="1"/>
    <col min="7662" max="7662" width="9.109375" style="238"/>
    <col min="7663" max="7663" width="2.6640625" style="238" customWidth="1"/>
    <col min="7664" max="7680" width="9.109375" style="238"/>
    <col min="7681" max="7681" width="6.33203125" style="238" customWidth="1"/>
    <col min="7682" max="7682" width="59.33203125" style="238" customWidth="1"/>
    <col min="7683" max="7683" width="9.88671875" style="238" customWidth="1"/>
    <col min="7684" max="7684" width="4.6640625" style="238" customWidth="1"/>
    <col min="7685" max="7685" width="59.5546875" style="238" customWidth="1"/>
    <col min="7686" max="7688" width="9.109375" style="238"/>
    <col min="7689" max="7689" width="2.88671875" style="238" customWidth="1"/>
    <col min="7690" max="7690" width="48" style="238" customWidth="1"/>
    <col min="7691" max="7911" width="9.109375" style="238"/>
    <col min="7912" max="7912" width="6.33203125" style="238" customWidth="1"/>
    <col min="7913" max="7913" width="12.5546875" style="238" customWidth="1"/>
    <col min="7914" max="7914" width="8.6640625" style="238" customWidth="1"/>
    <col min="7915" max="7915" width="11.6640625" style="238" customWidth="1"/>
    <col min="7916" max="7916" width="9.109375" style="238"/>
    <col min="7917" max="7917" width="2.5546875" style="238" customWidth="1"/>
    <col min="7918" max="7918" width="9.109375" style="238"/>
    <col min="7919" max="7919" width="2.6640625" style="238" customWidth="1"/>
    <col min="7920" max="7936" width="9.109375" style="238"/>
    <col min="7937" max="7937" width="6.33203125" style="238" customWidth="1"/>
    <col min="7938" max="7938" width="59.33203125" style="238" customWidth="1"/>
    <col min="7939" max="7939" width="9.88671875" style="238" customWidth="1"/>
    <col min="7940" max="7940" width="4.6640625" style="238" customWidth="1"/>
    <col min="7941" max="7941" width="59.5546875" style="238" customWidth="1"/>
    <col min="7942" max="7944" width="9.109375" style="238"/>
    <col min="7945" max="7945" width="2.88671875" style="238" customWidth="1"/>
    <col min="7946" max="7946" width="48" style="238" customWidth="1"/>
    <col min="7947" max="8167" width="9.109375" style="238"/>
    <col min="8168" max="8168" width="6.33203125" style="238" customWidth="1"/>
    <col min="8169" max="8169" width="12.5546875" style="238" customWidth="1"/>
    <col min="8170" max="8170" width="8.6640625" style="238" customWidth="1"/>
    <col min="8171" max="8171" width="11.6640625" style="238" customWidth="1"/>
    <col min="8172" max="8172" width="9.109375" style="238"/>
    <col min="8173" max="8173" width="2.5546875" style="238" customWidth="1"/>
    <col min="8174" max="8174" width="9.109375" style="238"/>
    <col min="8175" max="8175" width="2.6640625" style="238" customWidth="1"/>
    <col min="8176" max="8192" width="9.109375" style="238"/>
    <col min="8193" max="8193" width="6.33203125" style="238" customWidth="1"/>
    <col min="8194" max="8194" width="59.33203125" style="238" customWidth="1"/>
    <col min="8195" max="8195" width="9.88671875" style="238" customWidth="1"/>
    <col min="8196" max="8196" width="4.6640625" style="238" customWidth="1"/>
    <col min="8197" max="8197" width="59.5546875" style="238" customWidth="1"/>
    <col min="8198" max="8200" width="9.109375" style="238"/>
    <col min="8201" max="8201" width="2.88671875" style="238" customWidth="1"/>
    <col min="8202" max="8202" width="48" style="238" customWidth="1"/>
    <col min="8203" max="8423" width="9.109375" style="238"/>
    <col min="8424" max="8424" width="6.33203125" style="238" customWidth="1"/>
    <col min="8425" max="8425" width="12.5546875" style="238" customWidth="1"/>
    <col min="8426" max="8426" width="8.6640625" style="238" customWidth="1"/>
    <col min="8427" max="8427" width="11.6640625" style="238" customWidth="1"/>
    <col min="8428" max="8428" width="9.109375" style="238"/>
    <col min="8429" max="8429" width="2.5546875" style="238" customWidth="1"/>
    <col min="8430" max="8430" width="9.109375" style="238"/>
    <col min="8431" max="8431" width="2.6640625" style="238" customWidth="1"/>
    <col min="8432" max="8448" width="9.109375" style="238"/>
    <col min="8449" max="8449" width="6.33203125" style="238" customWidth="1"/>
    <col min="8450" max="8450" width="59.33203125" style="238" customWidth="1"/>
    <col min="8451" max="8451" width="9.88671875" style="238" customWidth="1"/>
    <col min="8452" max="8452" width="4.6640625" style="238" customWidth="1"/>
    <col min="8453" max="8453" width="59.5546875" style="238" customWidth="1"/>
    <col min="8454" max="8456" width="9.109375" style="238"/>
    <col min="8457" max="8457" width="2.88671875" style="238" customWidth="1"/>
    <col min="8458" max="8458" width="48" style="238" customWidth="1"/>
    <col min="8459" max="8679" width="9.109375" style="238"/>
    <col min="8680" max="8680" width="6.33203125" style="238" customWidth="1"/>
    <col min="8681" max="8681" width="12.5546875" style="238" customWidth="1"/>
    <col min="8682" max="8682" width="8.6640625" style="238" customWidth="1"/>
    <col min="8683" max="8683" width="11.6640625" style="238" customWidth="1"/>
    <col min="8684" max="8684" width="9.109375" style="238"/>
    <col min="8685" max="8685" width="2.5546875" style="238" customWidth="1"/>
    <col min="8686" max="8686" width="9.109375" style="238"/>
    <col min="8687" max="8687" width="2.6640625" style="238" customWidth="1"/>
    <col min="8688" max="8704" width="9.109375" style="238"/>
    <col min="8705" max="8705" width="6.33203125" style="238" customWidth="1"/>
    <col min="8706" max="8706" width="59.33203125" style="238" customWidth="1"/>
    <col min="8707" max="8707" width="9.88671875" style="238" customWidth="1"/>
    <col min="8708" max="8708" width="4.6640625" style="238" customWidth="1"/>
    <col min="8709" max="8709" width="59.5546875" style="238" customWidth="1"/>
    <col min="8710" max="8712" width="9.109375" style="238"/>
    <col min="8713" max="8713" width="2.88671875" style="238" customWidth="1"/>
    <col min="8714" max="8714" width="48" style="238" customWidth="1"/>
    <col min="8715" max="8935" width="9.109375" style="238"/>
    <col min="8936" max="8936" width="6.33203125" style="238" customWidth="1"/>
    <col min="8937" max="8937" width="12.5546875" style="238" customWidth="1"/>
    <col min="8938" max="8938" width="8.6640625" style="238" customWidth="1"/>
    <col min="8939" max="8939" width="11.6640625" style="238" customWidth="1"/>
    <col min="8940" max="8940" width="9.109375" style="238"/>
    <col min="8941" max="8941" width="2.5546875" style="238" customWidth="1"/>
    <col min="8942" max="8942" width="9.109375" style="238"/>
    <col min="8943" max="8943" width="2.6640625" style="238" customWidth="1"/>
    <col min="8944" max="8960" width="9.109375" style="238"/>
    <col min="8961" max="8961" width="6.33203125" style="238" customWidth="1"/>
    <col min="8962" max="8962" width="59.33203125" style="238" customWidth="1"/>
    <col min="8963" max="8963" width="9.88671875" style="238" customWidth="1"/>
    <col min="8964" max="8964" width="4.6640625" style="238" customWidth="1"/>
    <col min="8965" max="8965" width="59.5546875" style="238" customWidth="1"/>
    <col min="8966" max="8968" width="9.109375" style="238"/>
    <col min="8969" max="8969" width="2.88671875" style="238" customWidth="1"/>
    <col min="8970" max="8970" width="48" style="238" customWidth="1"/>
    <col min="8971" max="9191" width="9.109375" style="238"/>
    <col min="9192" max="9192" width="6.33203125" style="238" customWidth="1"/>
    <col min="9193" max="9193" width="12.5546875" style="238" customWidth="1"/>
    <col min="9194" max="9194" width="8.6640625" style="238" customWidth="1"/>
    <col min="9195" max="9195" width="11.6640625" style="238" customWidth="1"/>
    <col min="9196" max="9196" width="9.109375" style="238"/>
    <col min="9197" max="9197" width="2.5546875" style="238" customWidth="1"/>
    <col min="9198" max="9198" width="9.109375" style="238"/>
    <col min="9199" max="9199" width="2.6640625" style="238" customWidth="1"/>
    <col min="9200" max="9216" width="9.109375" style="238"/>
    <col min="9217" max="9217" width="6.33203125" style="238" customWidth="1"/>
    <col min="9218" max="9218" width="59.33203125" style="238" customWidth="1"/>
    <col min="9219" max="9219" width="9.88671875" style="238" customWidth="1"/>
    <col min="9220" max="9220" width="4.6640625" style="238" customWidth="1"/>
    <col min="9221" max="9221" width="59.5546875" style="238" customWidth="1"/>
    <col min="9222" max="9224" width="9.109375" style="238"/>
    <col min="9225" max="9225" width="2.88671875" style="238" customWidth="1"/>
    <col min="9226" max="9226" width="48" style="238" customWidth="1"/>
    <col min="9227" max="9447" width="9.109375" style="238"/>
    <col min="9448" max="9448" width="6.33203125" style="238" customWidth="1"/>
    <col min="9449" max="9449" width="12.5546875" style="238" customWidth="1"/>
    <col min="9450" max="9450" width="8.6640625" style="238" customWidth="1"/>
    <col min="9451" max="9451" width="11.6640625" style="238" customWidth="1"/>
    <col min="9452" max="9452" width="9.109375" style="238"/>
    <col min="9453" max="9453" width="2.5546875" style="238" customWidth="1"/>
    <col min="9454" max="9454" width="9.109375" style="238"/>
    <col min="9455" max="9455" width="2.6640625" style="238" customWidth="1"/>
    <col min="9456" max="9472" width="9.109375" style="238"/>
    <col min="9473" max="9473" width="6.33203125" style="238" customWidth="1"/>
    <col min="9474" max="9474" width="59.33203125" style="238" customWidth="1"/>
    <col min="9475" max="9475" width="9.88671875" style="238" customWidth="1"/>
    <col min="9476" max="9476" width="4.6640625" style="238" customWidth="1"/>
    <col min="9477" max="9477" width="59.5546875" style="238" customWidth="1"/>
    <col min="9478" max="9480" width="9.109375" style="238"/>
    <col min="9481" max="9481" width="2.88671875" style="238" customWidth="1"/>
    <col min="9482" max="9482" width="48" style="238" customWidth="1"/>
    <col min="9483" max="9703" width="9.109375" style="238"/>
    <col min="9704" max="9704" width="6.33203125" style="238" customWidth="1"/>
    <col min="9705" max="9705" width="12.5546875" style="238" customWidth="1"/>
    <col min="9706" max="9706" width="8.6640625" style="238" customWidth="1"/>
    <col min="9707" max="9707" width="11.6640625" style="238" customWidth="1"/>
    <col min="9708" max="9708" width="9.109375" style="238"/>
    <col min="9709" max="9709" width="2.5546875" style="238" customWidth="1"/>
    <col min="9710" max="9710" width="9.109375" style="238"/>
    <col min="9711" max="9711" width="2.6640625" style="238" customWidth="1"/>
    <col min="9712" max="9728" width="9.109375" style="238"/>
    <col min="9729" max="9729" width="6.33203125" style="238" customWidth="1"/>
    <col min="9730" max="9730" width="59.33203125" style="238" customWidth="1"/>
    <col min="9731" max="9731" width="9.88671875" style="238" customWidth="1"/>
    <col min="9732" max="9732" width="4.6640625" style="238" customWidth="1"/>
    <col min="9733" max="9733" width="59.5546875" style="238" customWidth="1"/>
    <col min="9734" max="9736" width="9.109375" style="238"/>
    <col min="9737" max="9737" width="2.88671875" style="238" customWidth="1"/>
    <col min="9738" max="9738" width="48" style="238" customWidth="1"/>
    <col min="9739" max="9959" width="9.109375" style="238"/>
    <col min="9960" max="9960" width="6.33203125" style="238" customWidth="1"/>
    <col min="9961" max="9961" width="12.5546875" style="238" customWidth="1"/>
    <col min="9962" max="9962" width="8.6640625" style="238" customWidth="1"/>
    <col min="9963" max="9963" width="11.6640625" style="238" customWidth="1"/>
    <col min="9964" max="9964" width="9.109375" style="238"/>
    <col min="9965" max="9965" width="2.5546875" style="238" customWidth="1"/>
    <col min="9966" max="9966" width="9.109375" style="238"/>
    <col min="9967" max="9967" width="2.6640625" style="238" customWidth="1"/>
    <col min="9968" max="9984" width="9.109375" style="238"/>
    <col min="9985" max="9985" width="6.33203125" style="238" customWidth="1"/>
    <col min="9986" max="9986" width="59.33203125" style="238" customWidth="1"/>
    <col min="9987" max="9987" width="9.88671875" style="238" customWidth="1"/>
    <col min="9988" max="9988" width="4.6640625" style="238" customWidth="1"/>
    <col min="9989" max="9989" width="59.5546875" style="238" customWidth="1"/>
    <col min="9990" max="9992" width="9.109375" style="238"/>
    <col min="9993" max="9993" width="2.88671875" style="238" customWidth="1"/>
    <col min="9994" max="9994" width="48" style="238" customWidth="1"/>
    <col min="9995" max="10215" width="9.109375" style="238"/>
    <col min="10216" max="10216" width="6.33203125" style="238" customWidth="1"/>
    <col min="10217" max="10217" width="12.5546875" style="238" customWidth="1"/>
    <col min="10218" max="10218" width="8.6640625" style="238" customWidth="1"/>
    <col min="10219" max="10219" width="11.6640625" style="238" customWidth="1"/>
    <col min="10220" max="10220" width="9.109375" style="238"/>
    <col min="10221" max="10221" width="2.5546875" style="238" customWidth="1"/>
    <col min="10222" max="10222" width="9.109375" style="238"/>
    <col min="10223" max="10223" width="2.6640625" style="238" customWidth="1"/>
    <col min="10224" max="10240" width="9.109375" style="238"/>
    <col min="10241" max="10241" width="6.33203125" style="238" customWidth="1"/>
    <col min="10242" max="10242" width="59.33203125" style="238" customWidth="1"/>
    <col min="10243" max="10243" width="9.88671875" style="238" customWidth="1"/>
    <col min="10244" max="10244" width="4.6640625" style="238" customWidth="1"/>
    <col min="10245" max="10245" width="59.5546875" style="238" customWidth="1"/>
    <col min="10246" max="10248" width="9.109375" style="238"/>
    <col min="10249" max="10249" width="2.88671875" style="238" customWidth="1"/>
    <col min="10250" max="10250" width="48" style="238" customWidth="1"/>
    <col min="10251" max="10471" width="9.109375" style="238"/>
    <col min="10472" max="10472" width="6.33203125" style="238" customWidth="1"/>
    <col min="10473" max="10473" width="12.5546875" style="238" customWidth="1"/>
    <col min="10474" max="10474" width="8.6640625" style="238" customWidth="1"/>
    <col min="10475" max="10475" width="11.6640625" style="238" customWidth="1"/>
    <col min="10476" max="10476" width="9.109375" style="238"/>
    <col min="10477" max="10477" width="2.5546875" style="238" customWidth="1"/>
    <col min="10478" max="10478" width="9.109375" style="238"/>
    <col min="10479" max="10479" width="2.6640625" style="238" customWidth="1"/>
    <col min="10480" max="10496" width="9.109375" style="238"/>
    <col min="10497" max="10497" width="6.33203125" style="238" customWidth="1"/>
    <col min="10498" max="10498" width="59.33203125" style="238" customWidth="1"/>
    <col min="10499" max="10499" width="9.88671875" style="238" customWidth="1"/>
    <col min="10500" max="10500" width="4.6640625" style="238" customWidth="1"/>
    <col min="10501" max="10501" width="59.5546875" style="238" customWidth="1"/>
    <col min="10502" max="10504" width="9.109375" style="238"/>
    <col min="10505" max="10505" width="2.88671875" style="238" customWidth="1"/>
    <col min="10506" max="10506" width="48" style="238" customWidth="1"/>
    <col min="10507" max="10727" width="9.109375" style="238"/>
    <col min="10728" max="10728" width="6.33203125" style="238" customWidth="1"/>
    <col min="10729" max="10729" width="12.5546875" style="238" customWidth="1"/>
    <col min="10730" max="10730" width="8.6640625" style="238" customWidth="1"/>
    <col min="10731" max="10731" width="11.6640625" style="238" customWidth="1"/>
    <col min="10732" max="10732" width="9.109375" style="238"/>
    <col min="10733" max="10733" width="2.5546875" style="238" customWidth="1"/>
    <col min="10734" max="10734" width="9.109375" style="238"/>
    <col min="10735" max="10735" width="2.6640625" style="238" customWidth="1"/>
    <col min="10736" max="10752" width="9.109375" style="238"/>
    <col min="10753" max="10753" width="6.33203125" style="238" customWidth="1"/>
    <col min="10754" max="10754" width="59.33203125" style="238" customWidth="1"/>
    <col min="10755" max="10755" width="9.88671875" style="238" customWidth="1"/>
    <col min="10756" max="10756" width="4.6640625" style="238" customWidth="1"/>
    <col min="10757" max="10757" width="59.5546875" style="238" customWidth="1"/>
    <col min="10758" max="10760" width="9.109375" style="238"/>
    <col min="10761" max="10761" width="2.88671875" style="238" customWidth="1"/>
    <col min="10762" max="10762" width="48" style="238" customWidth="1"/>
    <col min="10763" max="10983" width="9.109375" style="238"/>
    <col min="10984" max="10984" width="6.33203125" style="238" customWidth="1"/>
    <col min="10985" max="10985" width="12.5546875" style="238" customWidth="1"/>
    <col min="10986" max="10986" width="8.6640625" style="238" customWidth="1"/>
    <col min="10987" max="10987" width="11.6640625" style="238" customWidth="1"/>
    <col min="10988" max="10988" width="9.109375" style="238"/>
    <col min="10989" max="10989" width="2.5546875" style="238" customWidth="1"/>
    <col min="10990" max="10990" width="9.109375" style="238"/>
    <col min="10991" max="10991" width="2.6640625" style="238" customWidth="1"/>
    <col min="10992" max="11008" width="9.109375" style="238"/>
    <col min="11009" max="11009" width="6.33203125" style="238" customWidth="1"/>
    <col min="11010" max="11010" width="59.33203125" style="238" customWidth="1"/>
    <col min="11011" max="11011" width="9.88671875" style="238" customWidth="1"/>
    <col min="11012" max="11012" width="4.6640625" style="238" customWidth="1"/>
    <col min="11013" max="11013" width="59.5546875" style="238" customWidth="1"/>
    <col min="11014" max="11016" width="9.109375" style="238"/>
    <col min="11017" max="11017" width="2.88671875" style="238" customWidth="1"/>
    <col min="11018" max="11018" width="48" style="238" customWidth="1"/>
    <col min="11019" max="11239" width="9.109375" style="238"/>
    <col min="11240" max="11240" width="6.33203125" style="238" customWidth="1"/>
    <col min="11241" max="11241" width="12.5546875" style="238" customWidth="1"/>
    <col min="11242" max="11242" width="8.6640625" style="238" customWidth="1"/>
    <col min="11243" max="11243" width="11.6640625" style="238" customWidth="1"/>
    <col min="11244" max="11244" width="9.109375" style="238"/>
    <col min="11245" max="11245" width="2.5546875" style="238" customWidth="1"/>
    <col min="11246" max="11246" width="9.109375" style="238"/>
    <col min="11247" max="11247" width="2.6640625" style="238" customWidth="1"/>
    <col min="11248" max="11264" width="9.109375" style="238"/>
    <col min="11265" max="11265" width="6.33203125" style="238" customWidth="1"/>
    <col min="11266" max="11266" width="59.33203125" style="238" customWidth="1"/>
    <col min="11267" max="11267" width="9.88671875" style="238" customWidth="1"/>
    <col min="11268" max="11268" width="4.6640625" style="238" customWidth="1"/>
    <col min="11269" max="11269" width="59.5546875" style="238" customWidth="1"/>
    <col min="11270" max="11272" width="9.109375" style="238"/>
    <col min="11273" max="11273" width="2.88671875" style="238" customWidth="1"/>
    <col min="11274" max="11274" width="48" style="238" customWidth="1"/>
    <col min="11275" max="11495" width="9.109375" style="238"/>
    <col min="11496" max="11496" width="6.33203125" style="238" customWidth="1"/>
    <col min="11497" max="11497" width="12.5546875" style="238" customWidth="1"/>
    <col min="11498" max="11498" width="8.6640625" style="238" customWidth="1"/>
    <col min="11499" max="11499" width="11.6640625" style="238" customWidth="1"/>
    <col min="11500" max="11500" width="9.109375" style="238"/>
    <col min="11501" max="11501" width="2.5546875" style="238" customWidth="1"/>
    <col min="11502" max="11502" width="9.109375" style="238"/>
    <col min="11503" max="11503" width="2.6640625" style="238" customWidth="1"/>
    <col min="11504" max="11520" width="9.109375" style="238"/>
    <col min="11521" max="11521" width="6.33203125" style="238" customWidth="1"/>
    <col min="11522" max="11522" width="59.33203125" style="238" customWidth="1"/>
    <col min="11523" max="11523" width="9.88671875" style="238" customWidth="1"/>
    <col min="11524" max="11524" width="4.6640625" style="238" customWidth="1"/>
    <col min="11525" max="11525" width="59.5546875" style="238" customWidth="1"/>
    <col min="11526" max="11528" width="9.109375" style="238"/>
    <col min="11529" max="11529" width="2.88671875" style="238" customWidth="1"/>
    <col min="11530" max="11530" width="48" style="238" customWidth="1"/>
    <col min="11531" max="11751" width="9.109375" style="238"/>
    <col min="11752" max="11752" width="6.33203125" style="238" customWidth="1"/>
    <col min="11753" max="11753" width="12.5546875" style="238" customWidth="1"/>
    <col min="11754" max="11754" width="8.6640625" style="238" customWidth="1"/>
    <col min="11755" max="11755" width="11.6640625" style="238" customWidth="1"/>
    <col min="11756" max="11756" width="9.109375" style="238"/>
    <col min="11757" max="11757" width="2.5546875" style="238" customWidth="1"/>
    <col min="11758" max="11758" width="9.109375" style="238"/>
    <col min="11759" max="11759" width="2.6640625" style="238" customWidth="1"/>
    <col min="11760" max="11776" width="9.109375" style="238"/>
    <col min="11777" max="11777" width="6.33203125" style="238" customWidth="1"/>
    <col min="11778" max="11778" width="59.33203125" style="238" customWidth="1"/>
    <col min="11779" max="11779" width="9.88671875" style="238" customWidth="1"/>
    <col min="11780" max="11780" width="4.6640625" style="238" customWidth="1"/>
    <col min="11781" max="11781" width="59.5546875" style="238" customWidth="1"/>
    <col min="11782" max="11784" width="9.109375" style="238"/>
    <col min="11785" max="11785" width="2.88671875" style="238" customWidth="1"/>
    <col min="11786" max="11786" width="48" style="238" customWidth="1"/>
    <col min="11787" max="12007" width="9.109375" style="238"/>
    <col min="12008" max="12008" width="6.33203125" style="238" customWidth="1"/>
    <col min="12009" max="12009" width="12.5546875" style="238" customWidth="1"/>
    <col min="12010" max="12010" width="8.6640625" style="238" customWidth="1"/>
    <col min="12011" max="12011" width="11.6640625" style="238" customWidth="1"/>
    <col min="12012" max="12012" width="9.109375" style="238"/>
    <col min="12013" max="12013" width="2.5546875" style="238" customWidth="1"/>
    <col min="12014" max="12014" width="9.109375" style="238"/>
    <col min="12015" max="12015" width="2.6640625" style="238" customWidth="1"/>
    <col min="12016" max="12032" width="9.109375" style="238"/>
    <col min="12033" max="12033" width="6.33203125" style="238" customWidth="1"/>
    <col min="12034" max="12034" width="59.33203125" style="238" customWidth="1"/>
    <col min="12035" max="12035" width="9.88671875" style="238" customWidth="1"/>
    <col min="12036" max="12036" width="4.6640625" style="238" customWidth="1"/>
    <col min="12037" max="12037" width="59.5546875" style="238" customWidth="1"/>
    <col min="12038" max="12040" width="9.109375" style="238"/>
    <col min="12041" max="12041" width="2.88671875" style="238" customWidth="1"/>
    <col min="12042" max="12042" width="48" style="238" customWidth="1"/>
    <col min="12043" max="12263" width="9.109375" style="238"/>
    <col min="12264" max="12264" width="6.33203125" style="238" customWidth="1"/>
    <col min="12265" max="12265" width="12.5546875" style="238" customWidth="1"/>
    <col min="12266" max="12266" width="8.6640625" style="238" customWidth="1"/>
    <col min="12267" max="12267" width="11.6640625" style="238" customWidth="1"/>
    <col min="12268" max="12268" width="9.109375" style="238"/>
    <col min="12269" max="12269" width="2.5546875" style="238" customWidth="1"/>
    <col min="12270" max="12270" width="9.109375" style="238"/>
    <col min="12271" max="12271" width="2.6640625" style="238" customWidth="1"/>
    <col min="12272" max="12288" width="9.109375" style="238"/>
    <col min="12289" max="12289" width="6.33203125" style="238" customWidth="1"/>
    <col min="12290" max="12290" width="59.33203125" style="238" customWidth="1"/>
    <col min="12291" max="12291" width="9.88671875" style="238" customWidth="1"/>
    <col min="12292" max="12292" width="4.6640625" style="238" customWidth="1"/>
    <col min="12293" max="12293" width="59.5546875" style="238" customWidth="1"/>
    <col min="12294" max="12296" width="9.109375" style="238"/>
    <col min="12297" max="12297" width="2.88671875" style="238" customWidth="1"/>
    <col min="12298" max="12298" width="48" style="238" customWidth="1"/>
    <col min="12299" max="12519" width="9.109375" style="238"/>
    <col min="12520" max="12520" width="6.33203125" style="238" customWidth="1"/>
    <col min="12521" max="12521" width="12.5546875" style="238" customWidth="1"/>
    <col min="12522" max="12522" width="8.6640625" style="238" customWidth="1"/>
    <col min="12523" max="12523" width="11.6640625" style="238" customWidth="1"/>
    <col min="12524" max="12524" width="9.109375" style="238"/>
    <col min="12525" max="12525" width="2.5546875" style="238" customWidth="1"/>
    <col min="12526" max="12526" width="9.109375" style="238"/>
    <col min="12527" max="12527" width="2.6640625" style="238" customWidth="1"/>
    <col min="12528" max="12544" width="9.109375" style="238"/>
    <col min="12545" max="12545" width="6.33203125" style="238" customWidth="1"/>
    <col min="12546" max="12546" width="59.33203125" style="238" customWidth="1"/>
    <col min="12547" max="12547" width="9.88671875" style="238" customWidth="1"/>
    <col min="12548" max="12548" width="4.6640625" style="238" customWidth="1"/>
    <col min="12549" max="12549" width="59.5546875" style="238" customWidth="1"/>
    <col min="12550" max="12552" width="9.109375" style="238"/>
    <col min="12553" max="12553" width="2.88671875" style="238" customWidth="1"/>
    <col min="12554" max="12554" width="48" style="238" customWidth="1"/>
    <col min="12555" max="12775" width="9.109375" style="238"/>
    <col min="12776" max="12776" width="6.33203125" style="238" customWidth="1"/>
    <col min="12777" max="12777" width="12.5546875" style="238" customWidth="1"/>
    <col min="12778" max="12778" width="8.6640625" style="238" customWidth="1"/>
    <col min="12779" max="12779" width="11.6640625" style="238" customWidth="1"/>
    <col min="12780" max="12780" width="9.109375" style="238"/>
    <col min="12781" max="12781" width="2.5546875" style="238" customWidth="1"/>
    <col min="12782" max="12782" width="9.109375" style="238"/>
    <col min="12783" max="12783" width="2.6640625" style="238" customWidth="1"/>
    <col min="12784" max="12800" width="9.109375" style="238"/>
    <col min="12801" max="12801" width="6.33203125" style="238" customWidth="1"/>
    <col min="12802" max="12802" width="59.33203125" style="238" customWidth="1"/>
    <col min="12803" max="12803" width="9.88671875" style="238" customWidth="1"/>
    <col min="12804" max="12804" width="4.6640625" style="238" customWidth="1"/>
    <col min="12805" max="12805" width="59.5546875" style="238" customWidth="1"/>
    <col min="12806" max="12808" width="9.109375" style="238"/>
    <col min="12809" max="12809" width="2.88671875" style="238" customWidth="1"/>
    <col min="12810" max="12810" width="48" style="238" customWidth="1"/>
    <col min="12811" max="13031" width="9.109375" style="238"/>
    <col min="13032" max="13032" width="6.33203125" style="238" customWidth="1"/>
    <col min="13033" max="13033" width="12.5546875" style="238" customWidth="1"/>
    <col min="13034" max="13034" width="8.6640625" style="238" customWidth="1"/>
    <col min="13035" max="13035" width="11.6640625" style="238" customWidth="1"/>
    <col min="13036" max="13036" width="9.109375" style="238"/>
    <col min="13037" max="13037" width="2.5546875" style="238" customWidth="1"/>
    <col min="13038" max="13038" width="9.109375" style="238"/>
    <col min="13039" max="13039" width="2.6640625" style="238" customWidth="1"/>
    <col min="13040" max="13056" width="9.109375" style="238"/>
    <col min="13057" max="13057" width="6.33203125" style="238" customWidth="1"/>
    <col min="13058" max="13058" width="59.33203125" style="238" customWidth="1"/>
    <col min="13059" max="13059" width="9.88671875" style="238" customWidth="1"/>
    <col min="13060" max="13060" width="4.6640625" style="238" customWidth="1"/>
    <col min="13061" max="13061" width="59.5546875" style="238" customWidth="1"/>
    <col min="13062" max="13064" width="9.109375" style="238"/>
    <col min="13065" max="13065" width="2.88671875" style="238" customWidth="1"/>
    <col min="13066" max="13066" width="48" style="238" customWidth="1"/>
    <col min="13067" max="13287" width="9.109375" style="238"/>
    <col min="13288" max="13288" width="6.33203125" style="238" customWidth="1"/>
    <col min="13289" max="13289" width="12.5546875" style="238" customWidth="1"/>
    <col min="13290" max="13290" width="8.6640625" style="238" customWidth="1"/>
    <col min="13291" max="13291" width="11.6640625" style="238" customWidth="1"/>
    <col min="13292" max="13292" width="9.109375" style="238"/>
    <col min="13293" max="13293" width="2.5546875" style="238" customWidth="1"/>
    <col min="13294" max="13294" width="9.109375" style="238"/>
    <col min="13295" max="13295" width="2.6640625" style="238" customWidth="1"/>
    <col min="13296" max="13312" width="9.109375" style="238"/>
    <col min="13313" max="13313" width="6.33203125" style="238" customWidth="1"/>
    <col min="13314" max="13314" width="59.33203125" style="238" customWidth="1"/>
    <col min="13315" max="13315" width="9.88671875" style="238" customWidth="1"/>
    <col min="13316" max="13316" width="4.6640625" style="238" customWidth="1"/>
    <col min="13317" max="13317" width="59.5546875" style="238" customWidth="1"/>
    <col min="13318" max="13320" width="9.109375" style="238"/>
    <col min="13321" max="13321" width="2.88671875" style="238" customWidth="1"/>
    <col min="13322" max="13322" width="48" style="238" customWidth="1"/>
    <col min="13323" max="13543" width="9.109375" style="238"/>
    <col min="13544" max="13544" width="6.33203125" style="238" customWidth="1"/>
    <col min="13545" max="13545" width="12.5546875" style="238" customWidth="1"/>
    <col min="13546" max="13546" width="8.6640625" style="238" customWidth="1"/>
    <col min="13547" max="13547" width="11.6640625" style="238" customWidth="1"/>
    <col min="13548" max="13548" width="9.109375" style="238"/>
    <col min="13549" max="13549" width="2.5546875" style="238" customWidth="1"/>
    <col min="13550" max="13550" width="9.109375" style="238"/>
    <col min="13551" max="13551" width="2.6640625" style="238" customWidth="1"/>
    <col min="13552" max="13568" width="9.109375" style="238"/>
    <col min="13569" max="13569" width="6.33203125" style="238" customWidth="1"/>
    <col min="13570" max="13570" width="59.33203125" style="238" customWidth="1"/>
    <col min="13571" max="13571" width="9.88671875" style="238" customWidth="1"/>
    <col min="13572" max="13572" width="4.6640625" style="238" customWidth="1"/>
    <col min="13573" max="13573" width="59.5546875" style="238" customWidth="1"/>
    <col min="13574" max="13576" width="9.109375" style="238"/>
    <col min="13577" max="13577" width="2.88671875" style="238" customWidth="1"/>
    <col min="13578" max="13578" width="48" style="238" customWidth="1"/>
    <col min="13579" max="13799" width="9.109375" style="238"/>
    <col min="13800" max="13800" width="6.33203125" style="238" customWidth="1"/>
    <col min="13801" max="13801" width="12.5546875" style="238" customWidth="1"/>
    <col min="13802" max="13802" width="8.6640625" style="238" customWidth="1"/>
    <col min="13803" max="13803" width="11.6640625" style="238" customWidth="1"/>
    <col min="13804" max="13804" width="9.109375" style="238"/>
    <col min="13805" max="13805" width="2.5546875" style="238" customWidth="1"/>
    <col min="13806" max="13806" width="9.109375" style="238"/>
    <col min="13807" max="13807" width="2.6640625" style="238" customWidth="1"/>
    <col min="13808" max="13824" width="9.109375" style="238"/>
    <col min="13825" max="13825" width="6.33203125" style="238" customWidth="1"/>
    <col min="13826" max="13826" width="59.33203125" style="238" customWidth="1"/>
    <col min="13827" max="13827" width="9.88671875" style="238" customWidth="1"/>
    <col min="13828" max="13828" width="4.6640625" style="238" customWidth="1"/>
    <col min="13829" max="13829" width="59.5546875" style="238" customWidth="1"/>
    <col min="13830" max="13832" width="9.109375" style="238"/>
    <col min="13833" max="13833" width="2.88671875" style="238" customWidth="1"/>
    <col min="13834" max="13834" width="48" style="238" customWidth="1"/>
    <col min="13835" max="14055" width="9.109375" style="238"/>
    <col min="14056" max="14056" width="6.33203125" style="238" customWidth="1"/>
    <col min="14057" max="14057" width="12.5546875" style="238" customWidth="1"/>
    <col min="14058" max="14058" width="8.6640625" style="238" customWidth="1"/>
    <col min="14059" max="14059" width="11.6640625" style="238" customWidth="1"/>
    <col min="14060" max="14060" width="9.109375" style="238"/>
    <col min="14061" max="14061" width="2.5546875" style="238" customWidth="1"/>
    <col min="14062" max="14062" width="9.109375" style="238"/>
    <col min="14063" max="14063" width="2.6640625" style="238" customWidth="1"/>
    <col min="14064" max="14080" width="9.109375" style="238"/>
    <col min="14081" max="14081" width="6.33203125" style="238" customWidth="1"/>
    <col min="14082" max="14082" width="59.33203125" style="238" customWidth="1"/>
    <col min="14083" max="14083" width="9.88671875" style="238" customWidth="1"/>
    <col min="14084" max="14084" width="4.6640625" style="238" customWidth="1"/>
    <col min="14085" max="14085" width="59.5546875" style="238" customWidth="1"/>
    <col min="14086" max="14088" width="9.109375" style="238"/>
    <col min="14089" max="14089" width="2.88671875" style="238" customWidth="1"/>
    <col min="14090" max="14090" width="48" style="238" customWidth="1"/>
    <col min="14091" max="14311" width="9.109375" style="238"/>
    <col min="14312" max="14312" width="6.33203125" style="238" customWidth="1"/>
    <col min="14313" max="14313" width="12.5546875" style="238" customWidth="1"/>
    <col min="14314" max="14314" width="8.6640625" style="238" customWidth="1"/>
    <col min="14315" max="14315" width="11.6640625" style="238" customWidth="1"/>
    <col min="14316" max="14316" width="9.109375" style="238"/>
    <col min="14317" max="14317" width="2.5546875" style="238" customWidth="1"/>
    <col min="14318" max="14318" width="9.109375" style="238"/>
    <col min="14319" max="14319" width="2.6640625" style="238" customWidth="1"/>
    <col min="14320" max="14336" width="9.109375" style="238"/>
    <col min="14337" max="14337" width="6.33203125" style="238" customWidth="1"/>
    <col min="14338" max="14338" width="59.33203125" style="238" customWidth="1"/>
    <col min="14339" max="14339" width="9.88671875" style="238" customWidth="1"/>
    <col min="14340" max="14340" width="4.6640625" style="238" customWidth="1"/>
    <col min="14341" max="14341" width="59.5546875" style="238" customWidth="1"/>
    <col min="14342" max="14344" width="9.109375" style="238"/>
    <col min="14345" max="14345" width="2.88671875" style="238" customWidth="1"/>
    <col min="14346" max="14346" width="48" style="238" customWidth="1"/>
    <col min="14347" max="14567" width="9.109375" style="238"/>
    <col min="14568" max="14568" width="6.33203125" style="238" customWidth="1"/>
    <col min="14569" max="14569" width="12.5546875" style="238" customWidth="1"/>
    <col min="14570" max="14570" width="8.6640625" style="238" customWidth="1"/>
    <col min="14571" max="14571" width="11.6640625" style="238" customWidth="1"/>
    <col min="14572" max="14572" width="9.109375" style="238"/>
    <col min="14573" max="14573" width="2.5546875" style="238" customWidth="1"/>
    <col min="14574" max="14574" width="9.109375" style="238"/>
    <col min="14575" max="14575" width="2.6640625" style="238" customWidth="1"/>
    <col min="14576" max="14592" width="9.109375" style="238"/>
    <col min="14593" max="14593" width="6.33203125" style="238" customWidth="1"/>
    <col min="14594" max="14594" width="59.33203125" style="238" customWidth="1"/>
    <col min="14595" max="14595" width="9.88671875" style="238" customWidth="1"/>
    <col min="14596" max="14596" width="4.6640625" style="238" customWidth="1"/>
    <col min="14597" max="14597" width="59.5546875" style="238" customWidth="1"/>
    <col min="14598" max="14600" width="9.109375" style="238"/>
    <col min="14601" max="14601" width="2.88671875" style="238" customWidth="1"/>
    <col min="14602" max="14602" width="48" style="238" customWidth="1"/>
    <col min="14603" max="14823" width="9.109375" style="238"/>
    <col min="14824" max="14824" width="6.33203125" style="238" customWidth="1"/>
    <col min="14825" max="14825" width="12.5546875" style="238" customWidth="1"/>
    <col min="14826" max="14826" width="8.6640625" style="238" customWidth="1"/>
    <col min="14827" max="14827" width="11.6640625" style="238" customWidth="1"/>
    <col min="14828" max="14828" width="9.109375" style="238"/>
    <col min="14829" max="14829" width="2.5546875" style="238" customWidth="1"/>
    <col min="14830" max="14830" width="9.109375" style="238"/>
    <col min="14831" max="14831" width="2.6640625" style="238" customWidth="1"/>
    <col min="14832" max="14848" width="9.109375" style="238"/>
    <col min="14849" max="14849" width="6.33203125" style="238" customWidth="1"/>
    <col min="14850" max="14850" width="59.33203125" style="238" customWidth="1"/>
    <col min="14851" max="14851" width="9.88671875" style="238" customWidth="1"/>
    <col min="14852" max="14852" width="4.6640625" style="238" customWidth="1"/>
    <col min="14853" max="14853" width="59.5546875" style="238" customWidth="1"/>
    <col min="14854" max="14856" width="9.109375" style="238"/>
    <col min="14857" max="14857" width="2.88671875" style="238" customWidth="1"/>
    <col min="14858" max="14858" width="48" style="238" customWidth="1"/>
    <col min="14859" max="15079" width="9.109375" style="238"/>
    <col min="15080" max="15080" width="6.33203125" style="238" customWidth="1"/>
    <col min="15081" max="15081" width="12.5546875" style="238" customWidth="1"/>
    <col min="15082" max="15082" width="8.6640625" style="238" customWidth="1"/>
    <col min="15083" max="15083" width="11.6640625" style="238" customWidth="1"/>
    <col min="15084" max="15084" width="9.109375" style="238"/>
    <col min="15085" max="15085" width="2.5546875" style="238" customWidth="1"/>
    <col min="15086" max="15086" width="9.109375" style="238"/>
    <col min="15087" max="15087" width="2.6640625" style="238" customWidth="1"/>
    <col min="15088" max="15104" width="9.109375" style="238"/>
    <col min="15105" max="15105" width="6.33203125" style="238" customWidth="1"/>
    <col min="15106" max="15106" width="59.33203125" style="238" customWidth="1"/>
    <col min="15107" max="15107" width="9.88671875" style="238" customWidth="1"/>
    <col min="15108" max="15108" width="4.6640625" style="238" customWidth="1"/>
    <col min="15109" max="15109" width="59.5546875" style="238" customWidth="1"/>
    <col min="15110" max="15112" width="9.109375" style="238"/>
    <col min="15113" max="15113" width="2.88671875" style="238" customWidth="1"/>
    <col min="15114" max="15114" width="48" style="238" customWidth="1"/>
    <col min="15115" max="15335" width="9.109375" style="238"/>
    <col min="15336" max="15336" width="6.33203125" style="238" customWidth="1"/>
    <col min="15337" max="15337" width="12.5546875" style="238" customWidth="1"/>
    <col min="15338" max="15338" width="8.6640625" style="238" customWidth="1"/>
    <col min="15339" max="15339" width="11.6640625" style="238" customWidth="1"/>
    <col min="15340" max="15340" width="9.109375" style="238"/>
    <col min="15341" max="15341" width="2.5546875" style="238" customWidth="1"/>
    <col min="15342" max="15342" width="9.109375" style="238"/>
    <col min="15343" max="15343" width="2.6640625" style="238" customWidth="1"/>
    <col min="15344" max="15360" width="9.109375" style="238"/>
    <col min="15361" max="15361" width="6.33203125" style="238" customWidth="1"/>
    <col min="15362" max="15362" width="59.33203125" style="238" customWidth="1"/>
    <col min="15363" max="15363" width="9.88671875" style="238" customWidth="1"/>
    <col min="15364" max="15364" width="4.6640625" style="238" customWidth="1"/>
    <col min="15365" max="15365" width="59.5546875" style="238" customWidth="1"/>
    <col min="15366" max="15368" width="9.109375" style="238"/>
    <col min="15369" max="15369" width="2.88671875" style="238" customWidth="1"/>
    <col min="15370" max="15370" width="48" style="238" customWidth="1"/>
    <col min="15371" max="15591" width="9.109375" style="238"/>
    <col min="15592" max="15592" width="6.33203125" style="238" customWidth="1"/>
    <col min="15593" max="15593" width="12.5546875" style="238" customWidth="1"/>
    <col min="15594" max="15594" width="8.6640625" style="238" customWidth="1"/>
    <col min="15595" max="15595" width="11.6640625" style="238" customWidth="1"/>
    <col min="15596" max="15596" width="9.109375" style="238"/>
    <col min="15597" max="15597" width="2.5546875" style="238" customWidth="1"/>
    <col min="15598" max="15598" width="9.109375" style="238"/>
    <col min="15599" max="15599" width="2.6640625" style="238" customWidth="1"/>
    <col min="15600" max="15616" width="9.109375" style="238"/>
    <col min="15617" max="15617" width="6.33203125" style="238" customWidth="1"/>
    <col min="15618" max="15618" width="59.33203125" style="238" customWidth="1"/>
    <col min="15619" max="15619" width="9.88671875" style="238" customWidth="1"/>
    <col min="15620" max="15620" width="4.6640625" style="238" customWidth="1"/>
    <col min="15621" max="15621" width="59.5546875" style="238" customWidth="1"/>
    <col min="15622" max="15624" width="9.109375" style="238"/>
    <col min="15625" max="15625" width="2.88671875" style="238" customWidth="1"/>
    <col min="15626" max="15626" width="48" style="238" customWidth="1"/>
    <col min="15627" max="15847" width="9.109375" style="238"/>
    <col min="15848" max="15848" width="6.33203125" style="238" customWidth="1"/>
    <col min="15849" max="15849" width="12.5546875" style="238" customWidth="1"/>
    <col min="15850" max="15850" width="8.6640625" style="238" customWidth="1"/>
    <col min="15851" max="15851" width="11.6640625" style="238" customWidth="1"/>
    <col min="15852" max="15852" width="9.109375" style="238"/>
    <col min="15853" max="15853" width="2.5546875" style="238" customWidth="1"/>
    <col min="15854" max="15854" width="9.109375" style="238"/>
    <col min="15855" max="15855" width="2.6640625" style="238" customWidth="1"/>
    <col min="15856" max="15872" width="9.109375" style="238"/>
    <col min="15873" max="15873" width="6.33203125" style="238" customWidth="1"/>
    <col min="15874" max="15874" width="59.33203125" style="238" customWidth="1"/>
    <col min="15875" max="15875" width="9.88671875" style="238" customWidth="1"/>
    <col min="15876" max="15876" width="4.6640625" style="238" customWidth="1"/>
    <col min="15877" max="15877" width="59.5546875" style="238" customWidth="1"/>
    <col min="15878" max="15880" width="9.109375" style="238"/>
    <col min="15881" max="15881" width="2.88671875" style="238" customWidth="1"/>
    <col min="15882" max="15882" width="48" style="238" customWidth="1"/>
    <col min="15883" max="16103" width="9.109375" style="238"/>
    <col min="16104" max="16104" width="6.33203125" style="238" customWidth="1"/>
    <col min="16105" max="16105" width="12.5546875" style="238" customWidth="1"/>
    <col min="16106" max="16106" width="8.6640625" style="238" customWidth="1"/>
    <col min="16107" max="16107" width="11.6640625" style="238" customWidth="1"/>
    <col min="16108" max="16108" width="9.109375" style="238"/>
    <col min="16109" max="16109" width="2.5546875" style="238" customWidth="1"/>
    <col min="16110" max="16110" width="9.109375" style="238"/>
    <col min="16111" max="16111" width="2.6640625" style="238" customWidth="1"/>
    <col min="16112" max="16128" width="9.109375" style="238"/>
    <col min="16129" max="16129" width="6.33203125" style="238" customWidth="1"/>
    <col min="16130" max="16130" width="59.33203125" style="238" customWidth="1"/>
    <col min="16131" max="16131" width="9.88671875" style="238" customWidth="1"/>
    <col min="16132" max="16132" width="4.6640625" style="238" customWidth="1"/>
    <col min="16133" max="16133" width="59.5546875" style="238" customWidth="1"/>
    <col min="16134" max="16136" width="9.109375" style="238"/>
    <col min="16137" max="16137" width="2.88671875" style="238" customWidth="1"/>
    <col min="16138" max="16138" width="48" style="238" customWidth="1"/>
    <col min="16139" max="16359" width="9.109375" style="238"/>
    <col min="16360" max="16360" width="6.33203125" style="238" customWidth="1"/>
    <col min="16361" max="16361" width="12.5546875" style="238" customWidth="1"/>
    <col min="16362" max="16362" width="8.6640625" style="238" customWidth="1"/>
    <col min="16363" max="16363" width="11.6640625" style="238" customWidth="1"/>
    <col min="16364" max="16364" width="9.109375" style="238"/>
    <col min="16365" max="16365" width="2.5546875" style="238" customWidth="1"/>
    <col min="16366" max="16366" width="9.109375" style="238"/>
    <col min="16367" max="16367" width="2.6640625" style="238" customWidth="1"/>
    <col min="16368" max="16384" width="9.109375" style="238"/>
  </cols>
  <sheetData>
    <row r="1" spans="1:13" s="236" customFormat="1" ht="14.4">
      <c r="C1" s="237"/>
    </row>
    <row r="2" spans="1:13" s="236" customFormat="1" ht="14.4">
      <c r="C2" s="237"/>
    </row>
    <row r="3" spans="1:13" s="236" customFormat="1" ht="14.4">
      <c r="C3" s="237"/>
    </row>
    <row r="4" spans="1:13" s="236" customFormat="1" ht="30" customHeight="1">
      <c r="C4" s="237"/>
      <c r="E4" s="236" t="s">
        <v>344</v>
      </c>
    </row>
    <row r="5" spans="1:13" s="236" customFormat="1" ht="27" customHeight="1">
      <c r="A5" s="399" t="str">
        <f>'ORÇ BASE'!A4</f>
        <v>OBJETO: CONSTRUÇÃO DE UMA QUADRA ESPORTIVA DESCOBERTA</v>
      </c>
      <c r="B5" s="399"/>
      <c r="C5" s="399"/>
    </row>
    <row r="6" spans="1:13" s="236" customFormat="1" ht="15" customHeight="1">
      <c r="A6" s="395" t="str">
        <f>'ORÇ BASE'!A3</f>
        <v>LOCAL: VÁRZEA ALEGRE - ZONA RURAL - TERRA NOVA/PE</v>
      </c>
      <c r="B6" s="395"/>
      <c r="C6" s="395"/>
      <c r="D6" s="395"/>
    </row>
    <row r="7" spans="1:13" s="236" customFormat="1" ht="15" customHeight="1">
      <c r="A7" s="400"/>
      <c r="B7" s="400"/>
      <c r="C7" s="400"/>
      <c r="D7" s="400"/>
    </row>
    <row r="8" spans="1:13" s="236" customFormat="1" ht="18">
      <c r="A8" s="401" t="s">
        <v>345</v>
      </c>
      <c r="B8" s="401"/>
      <c r="C8" s="401"/>
      <c r="E8" s="236" t="s">
        <v>346</v>
      </c>
    </row>
    <row r="9" spans="1:13" ht="6.75" customHeight="1" thickBot="1"/>
    <row r="10" spans="1:13" s="236" customFormat="1" ht="15" thickBot="1">
      <c r="A10" s="240" t="s">
        <v>347</v>
      </c>
      <c r="B10" s="241" t="s">
        <v>348</v>
      </c>
      <c r="C10" s="242" t="s">
        <v>349</v>
      </c>
      <c r="E10" s="236" t="s">
        <v>350</v>
      </c>
    </row>
    <row r="11" spans="1:13" s="236" customFormat="1" ht="14.4">
      <c r="A11" s="243"/>
      <c r="B11" s="244" t="s">
        <v>351</v>
      </c>
      <c r="C11" s="245"/>
    </row>
    <row r="12" spans="1:13" s="236" customFormat="1" ht="32.25" customHeight="1" thickBot="1">
      <c r="A12" s="246" t="s">
        <v>352</v>
      </c>
      <c r="B12" s="247" t="s">
        <v>353</v>
      </c>
      <c r="C12" s="248">
        <v>3</v>
      </c>
      <c r="E12" s="249" t="s">
        <v>354</v>
      </c>
      <c r="F12" s="250"/>
      <c r="G12" s="250"/>
      <c r="H12" s="250"/>
      <c r="J12" s="402" t="s">
        <v>355</v>
      </c>
      <c r="K12" s="390"/>
      <c r="L12" s="390"/>
      <c r="M12" s="390"/>
    </row>
    <row r="13" spans="1:13" s="236" customFormat="1" ht="15" thickBot="1">
      <c r="A13" s="246" t="s">
        <v>356</v>
      </c>
      <c r="B13" s="247" t="s">
        <v>357</v>
      </c>
      <c r="C13" s="248">
        <v>0.59</v>
      </c>
      <c r="E13" s="251" t="s">
        <v>358</v>
      </c>
      <c r="F13" s="252" t="s">
        <v>359</v>
      </c>
      <c r="G13" s="252" t="s">
        <v>360</v>
      </c>
      <c r="H13" s="252" t="s">
        <v>361</v>
      </c>
      <c r="J13" s="251" t="s">
        <v>358</v>
      </c>
      <c r="K13" s="252" t="s">
        <v>359</v>
      </c>
      <c r="L13" s="252" t="s">
        <v>360</v>
      </c>
      <c r="M13" s="252" t="s">
        <v>361</v>
      </c>
    </row>
    <row r="14" spans="1:13" s="236" customFormat="1" ht="15" thickBot="1">
      <c r="A14" s="246" t="s">
        <v>362</v>
      </c>
      <c r="B14" s="247" t="s">
        <v>363</v>
      </c>
      <c r="C14" s="248">
        <v>0.97</v>
      </c>
      <c r="E14" s="253" t="s">
        <v>364</v>
      </c>
      <c r="F14" s="254">
        <v>0.03</v>
      </c>
      <c r="G14" s="254">
        <v>0.04</v>
      </c>
      <c r="H14" s="254">
        <v>5.5E-2</v>
      </c>
      <c r="J14" s="253" t="s">
        <v>364</v>
      </c>
      <c r="K14" s="254">
        <v>3.4299999999999997E-2</v>
      </c>
      <c r="L14" s="254">
        <v>4.9299999999999997E-2</v>
      </c>
      <c r="M14" s="254">
        <v>6.7100000000000007E-2</v>
      </c>
    </row>
    <row r="15" spans="1:13" s="236" customFormat="1" ht="15" thickBot="1">
      <c r="A15" s="255"/>
      <c r="B15" s="256"/>
      <c r="C15" s="257"/>
      <c r="E15" s="253" t="s">
        <v>365</v>
      </c>
      <c r="F15" s="254">
        <v>8.0000000000000002E-3</v>
      </c>
      <c r="G15" s="254">
        <v>8.0000000000000002E-3</v>
      </c>
      <c r="H15" s="254">
        <v>0.01</v>
      </c>
      <c r="J15" s="253" t="s">
        <v>365</v>
      </c>
      <c r="K15" s="254">
        <v>2.8E-3</v>
      </c>
      <c r="L15" s="254">
        <v>4.8999999999999998E-3</v>
      </c>
      <c r="M15" s="254">
        <v>7.4999999999999997E-3</v>
      </c>
    </row>
    <row r="16" spans="1:13" s="236" customFormat="1" ht="15" thickBot="1">
      <c r="C16" s="237"/>
      <c r="E16" s="253" t="s">
        <v>366</v>
      </c>
      <c r="F16" s="254">
        <v>9.7000000000000003E-3</v>
      </c>
      <c r="G16" s="254">
        <v>1.2699999999999999E-2</v>
      </c>
      <c r="H16" s="254">
        <v>1.2699999999999999E-2</v>
      </c>
      <c r="J16" s="253" t="s">
        <v>366</v>
      </c>
      <c r="K16" s="254">
        <v>0.01</v>
      </c>
      <c r="L16" s="254">
        <v>1.3899999999999999E-2</v>
      </c>
      <c r="M16" s="254">
        <v>1.7399999999999999E-2</v>
      </c>
    </row>
    <row r="17" spans="1:13" s="236" customFormat="1" ht="15" thickBot="1">
      <c r="A17" s="243"/>
      <c r="B17" s="244" t="s">
        <v>367</v>
      </c>
      <c r="C17" s="245"/>
      <c r="E17" s="253" t="s">
        <v>368</v>
      </c>
      <c r="F17" s="254">
        <v>5.8999999999999999E-3</v>
      </c>
      <c r="G17" s="254">
        <v>1.23E-2</v>
      </c>
      <c r="H17" s="254">
        <v>1.3899999999999999E-2</v>
      </c>
      <c r="J17" s="253" t="s">
        <v>368</v>
      </c>
      <c r="K17" s="254">
        <v>9.4000000000000004E-3</v>
      </c>
      <c r="L17" s="254">
        <v>9.9000000000000008E-3</v>
      </c>
      <c r="M17" s="254">
        <v>1.17E-2</v>
      </c>
    </row>
    <row r="18" spans="1:13" s="236" customFormat="1" ht="15" thickBot="1">
      <c r="A18" s="246" t="s">
        <v>369</v>
      </c>
      <c r="B18" s="247" t="s">
        <v>370</v>
      </c>
      <c r="C18" s="248">
        <v>0.8</v>
      </c>
      <c r="E18" s="253" t="s">
        <v>371</v>
      </c>
      <c r="F18" s="254">
        <v>6.1600000000000002E-2</v>
      </c>
      <c r="G18" s="254">
        <v>7.3999999999999996E-2</v>
      </c>
      <c r="H18" s="254">
        <v>8.9599999999999999E-2</v>
      </c>
      <c r="J18" s="253" t="s">
        <v>371</v>
      </c>
      <c r="K18" s="254">
        <v>6.7400000000000002E-2</v>
      </c>
      <c r="L18" s="254">
        <v>8.0399999999999999E-2</v>
      </c>
      <c r="M18" s="254">
        <v>9.4E-2</v>
      </c>
    </row>
    <row r="19" spans="1:13" s="236" customFormat="1" ht="27" customHeight="1" thickBot="1">
      <c r="A19" s="246" t="s">
        <v>275</v>
      </c>
      <c r="B19" s="247" t="s">
        <v>371</v>
      </c>
      <c r="C19" s="248">
        <v>6.16</v>
      </c>
      <c r="E19" s="253" t="s">
        <v>372</v>
      </c>
      <c r="F19" s="391" t="s">
        <v>373</v>
      </c>
      <c r="G19" s="392"/>
      <c r="H19" s="393"/>
      <c r="J19" s="253" t="s">
        <v>372</v>
      </c>
      <c r="K19" s="391" t="s">
        <v>373</v>
      </c>
      <c r="L19" s="392"/>
      <c r="M19" s="393"/>
    </row>
    <row r="20" spans="1:13" s="236" customFormat="1" ht="15.75" customHeight="1" thickBot="1">
      <c r="A20" s="258"/>
      <c r="B20" s="256"/>
      <c r="C20" s="257"/>
      <c r="E20" s="389" t="s">
        <v>374</v>
      </c>
      <c r="J20" s="394" t="s">
        <v>375</v>
      </c>
    </row>
    <row r="21" spans="1:13" s="236" customFormat="1" ht="12.75" customHeight="1" thickBot="1">
      <c r="C21" s="237"/>
      <c r="E21" s="390"/>
      <c r="F21" s="250"/>
      <c r="G21" s="250"/>
      <c r="H21" s="250"/>
      <c r="J21" s="390"/>
      <c r="K21" s="250"/>
      <c r="L21" s="250"/>
      <c r="M21" s="250"/>
    </row>
    <row r="22" spans="1:13" s="236" customFormat="1" ht="15" thickBot="1">
      <c r="A22" s="259" t="s">
        <v>376</v>
      </c>
      <c r="B22" s="260" t="s">
        <v>377</v>
      </c>
      <c r="C22" s="261">
        <f>+SUM(C23:C26)</f>
        <v>5.65</v>
      </c>
      <c r="E22" s="251" t="s">
        <v>358</v>
      </c>
      <c r="F22" s="252" t="s">
        <v>359</v>
      </c>
      <c r="G22" s="252" t="s">
        <v>360</v>
      </c>
      <c r="H22" s="252" t="s">
        <v>361</v>
      </c>
      <c r="J22" s="251" t="s">
        <v>358</v>
      </c>
      <c r="K22" s="252" t="s">
        <v>359</v>
      </c>
      <c r="L22" s="252" t="s">
        <v>360</v>
      </c>
      <c r="M22" s="252" t="s">
        <v>361</v>
      </c>
    </row>
    <row r="23" spans="1:13" s="236" customFormat="1" ht="15" thickBot="1">
      <c r="A23" s="262"/>
      <c r="B23" s="263" t="s">
        <v>378</v>
      </c>
      <c r="C23" s="264">
        <v>0.65</v>
      </c>
      <c r="D23" s="265"/>
      <c r="E23" s="253" t="s">
        <v>364</v>
      </c>
      <c r="F23" s="254">
        <v>3.7999999999999999E-2</v>
      </c>
      <c r="G23" s="254">
        <v>4.0099999999999997E-2</v>
      </c>
      <c r="H23" s="254">
        <v>4.6699999999999998E-2</v>
      </c>
      <c r="J23" s="253" t="s">
        <v>364</v>
      </c>
      <c r="K23" s="254">
        <v>1.4999999999999999E-2</v>
      </c>
      <c r="L23" s="254">
        <v>3.4500000000000003E-2</v>
      </c>
      <c r="M23" s="254">
        <v>4.4900000000000002E-2</v>
      </c>
    </row>
    <row r="24" spans="1:13" s="236" customFormat="1" ht="15" thickBot="1">
      <c r="A24" s="262"/>
      <c r="B24" s="263" t="s">
        <v>379</v>
      </c>
      <c r="C24" s="264">
        <v>3</v>
      </c>
      <c r="D24" s="265"/>
      <c r="E24" s="253" t="s">
        <v>365</v>
      </c>
      <c r="F24" s="254">
        <v>3.2000000000000002E-3</v>
      </c>
      <c r="G24" s="254">
        <v>4.0000000000000001E-3</v>
      </c>
      <c r="H24" s="254">
        <v>7.4000000000000003E-3</v>
      </c>
      <c r="J24" s="253" t="s">
        <v>365</v>
      </c>
      <c r="K24" s="254">
        <v>3.0000000000000001E-3</v>
      </c>
      <c r="L24" s="254">
        <v>4.7999999999999996E-3</v>
      </c>
      <c r="M24" s="254">
        <v>8.2000000000000007E-3</v>
      </c>
    </row>
    <row r="25" spans="1:13" s="236" customFormat="1" ht="15" thickBot="1">
      <c r="A25" s="262"/>
      <c r="B25" s="263" t="s">
        <v>380</v>
      </c>
      <c r="C25" s="266">
        <v>2</v>
      </c>
      <c r="D25" s="265"/>
      <c r="E25" s="253" t="s">
        <v>366</v>
      </c>
      <c r="F25" s="254">
        <v>5.0000000000000001E-3</v>
      </c>
      <c r="G25" s="254">
        <v>5.5999999999999999E-3</v>
      </c>
      <c r="H25" s="254">
        <v>9.7000000000000003E-3</v>
      </c>
      <c r="J25" s="253" t="s">
        <v>366</v>
      </c>
      <c r="K25" s="254">
        <v>5.5999999999999999E-3</v>
      </c>
      <c r="L25" s="254">
        <v>8.5000000000000006E-3</v>
      </c>
      <c r="M25" s="254">
        <v>8.8999999999999999E-3</v>
      </c>
    </row>
    <row r="26" spans="1:13" s="236" customFormat="1" ht="15" thickBot="1">
      <c r="A26" s="267"/>
      <c r="B26" s="268" t="s">
        <v>381</v>
      </c>
      <c r="C26" s="269"/>
      <c r="D26" s="265"/>
      <c r="E26" s="253" t="s">
        <v>368</v>
      </c>
      <c r="F26" s="254">
        <v>1.0200000000000001E-2</v>
      </c>
      <c r="G26" s="254">
        <v>1.11E-2</v>
      </c>
      <c r="H26" s="254">
        <v>1.21E-2</v>
      </c>
      <c r="J26" s="253" t="s">
        <v>368</v>
      </c>
      <c r="K26" s="254">
        <v>8.5000000000000006E-3</v>
      </c>
      <c r="L26" s="254">
        <v>8.5000000000000006E-3</v>
      </c>
      <c r="M26" s="254">
        <v>1.11E-2</v>
      </c>
    </row>
    <row r="27" spans="1:13" s="236" customFormat="1" ht="15" thickBot="1">
      <c r="A27" s="270"/>
      <c r="B27" s="271" t="s">
        <v>382</v>
      </c>
      <c r="C27" s="272">
        <f>SUM(C23:C26)</f>
        <v>5.65</v>
      </c>
      <c r="E27" s="253" t="s">
        <v>371</v>
      </c>
      <c r="F27" s="254">
        <v>6.6400000000000001E-2</v>
      </c>
      <c r="G27" s="254">
        <v>7.2999999999999995E-2</v>
      </c>
      <c r="H27" s="254">
        <v>8.6900000000000005E-2</v>
      </c>
      <c r="J27" s="253" t="s">
        <v>371</v>
      </c>
      <c r="K27" s="254">
        <v>3.5000000000000003E-2</v>
      </c>
      <c r="L27" s="254">
        <v>5.11E-2</v>
      </c>
      <c r="M27" s="254">
        <v>6.2199999999999998E-2</v>
      </c>
    </row>
    <row r="28" spans="1:13" s="236" customFormat="1" ht="28.5" customHeight="1" thickBot="1">
      <c r="A28" s="237"/>
      <c r="B28" s="273"/>
      <c r="C28" s="274"/>
      <c r="E28" s="253" t="s">
        <v>372</v>
      </c>
      <c r="F28" s="391" t="s">
        <v>373</v>
      </c>
      <c r="G28" s="392"/>
      <c r="H28" s="393"/>
      <c r="J28" s="253" t="s">
        <v>372</v>
      </c>
      <c r="K28" s="391" t="s">
        <v>373</v>
      </c>
      <c r="L28" s="392"/>
      <c r="M28" s="393"/>
    </row>
    <row r="29" spans="1:13" s="236" customFormat="1" ht="15" thickBot="1">
      <c r="A29" s="275"/>
      <c r="B29" s="276" t="s">
        <v>383</v>
      </c>
      <c r="C29" s="277">
        <f>+(((1+C12/100+C18/100+C14/100)*(1+C13/100)*(1+C19/100))/(1-C22/100))-1</f>
        <v>0.18579811986009576</v>
      </c>
      <c r="F29" s="278">
        <f>F23+F24+F25+F26+F27+8.65%</f>
        <v>0.20929999999999999</v>
      </c>
      <c r="G29" s="278">
        <f>G23+G24+G25+G26+G27+8.65%</f>
        <v>0.2203</v>
      </c>
      <c r="H29" s="278">
        <f>H23+H24+H25+H26+H27+8.65%</f>
        <v>0.24930000000000002</v>
      </c>
    </row>
    <row r="30" spans="1:13" s="236" customFormat="1" ht="14.4">
      <c r="C30" s="237"/>
      <c r="E30" s="236" t="s">
        <v>384</v>
      </c>
    </row>
    <row r="31" spans="1:13" s="236" customFormat="1" ht="15" thickBot="1">
      <c r="A31" s="395"/>
      <c r="B31" s="395"/>
      <c r="C31" s="237"/>
    </row>
    <row r="32" spans="1:13" s="236" customFormat="1" ht="15" thickBot="1">
      <c r="B32" s="279"/>
      <c r="C32" s="237"/>
      <c r="E32" s="396" t="s">
        <v>385</v>
      </c>
      <c r="F32" s="397"/>
      <c r="G32" s="397"/>
      <c r="H32" s="398"/>
    </row>
    <row r="33" spans="2:8" s="236" customFormat="1" ht="15" thickBot="1">
      <c r="C33" s="280"/>
      <c r="E33" s="281" t="s">
        <v>386</v>
      </c>
      <c r="F33" s="282" t="s">
        <v>359</v>
      </c>
      <c r="G33" s="282" t="s">
        <v>360</v>
      </c>
      <c r="H33" s="282" t="s">
        <v>361</v>
      </c>
    </row>
    <row r="34" spans="2:8" s="236" customFormat="1" ht="15" thickBot="1">
      <c r="C34" s="237"/>
      <c r="E34" s="253" t="s">
        <v>387</v>
      </c>
      <c r="F34" s="254">
        <v>0.2034</v>
      </c>
      <c r="G34" s="254">
        <v>0.22120000000000001</v>
      </c>
      <c r="H34" s="254">
        <v>0.25</v>
      </c>
    </row>
    <row r="35" spans="2:8" s="236" customFormat="1" ht="15" thickBot="1">
      <c r="B35" s="279"/>
      <c r="C35" s="237"/>
      <c r="E35" s="253" t="s">
        <v>388</v>
      </c>
      <c r="F35" s="254">
        <v>0.19600000000000001</v>
      </c>
      <c r="G35" s="254">
        <v>0.2097</v>
      </c>
      <c r="H35" s="254">
        <v>0.24229999999999999</v>
      </c>
    </row>
    <row r="36" spans="2:8" s="236" customFormat="1" ht="28.2" thickBot="1">
      <c r="B36" s="279"/>
      <c r="C36" s="237"/>
      <c r="E36" s="253" t="s">
        <v>389</v>
      </c>
      <c r="F36" s="254">
        <v>0.20760000000000001</v>
      </c>
      <c r="G36" s="254">
        <v>0.24179999999999999</v>
      </c>
      <c r="H36" s="254">
        <v>0.26440000000000002</v>
      </c>
    </row>
    <row r="37" spans="2:8" s="236" customFormat="1" ht="28.2" thickBot="1">
      <c r="C37" s="237"/>
      <c r="E37" s="253" t="s">
        <v>390</v>
      </c>
      <c r="F37" s="254">
        <v>0.24</v>
      </c>
      <c r="G37" s="254">
        <v>0.25840000000000002</v>
      </c>
      <c r="H37" s="254">
        <v>0.27860000000000001</v>
      </c>
    </row>
    <row r="38" spans="2:8" s="236" customFormat="1" ht="15" thickBot="1">
      <c r="B38" s="279"/>
      <c r="C38" s="237"/>
      <c r="E38" s="253" t="s">
        <v>391</v>
      </c>
      <c r="F38" s="254">
        <v>0.22800000000000001</v>
      </c>
      <c r="G38" s="254">
        <v>0.27479999999999999</v>
      </c>
      <c r="H38" s="254">
        <v>0.3095</v>
      </c>
    </row>
    <row r="39" spans="2:8" ht="14.4" thickBot="1">
      <c r="E39" s="253" t="s">
        <v>392</v>
      </c>
      <c r="F39" s="254">
        <v>0.111</v>
      </c>
      <c r="G39" s="254">
        <v>0.14019999999999999</v>
      </c>
      <c r="H39" s="254">
        <v>0.16800000000000001</v>
      </c>
    </row>
    <row r="41" spans="2:8" ht="13.8" thickBot="1"/>
    <row r="42" spans="2:8" ht="14.4">
      <c r="E42" s="389" t="s">
        <v>374</v>
      </c>
      <c r="F42" s="236"/>
      <c r="G42" s="236"/>
      <c r="H42" s="236"/>
    </row>
    <row r="43" spans="2:8" ht="15" thickBot="1">
      <c r="C43" s="283">
        <f>C12+C13+C14+C18+C19+C22</f>
        <v>17.170000000000002</v>
      </c>
      <c r="E43" s="390"/>
      <c r="F43" s="250"/>
      <c r="G43" s="250"/>
      <c r="H43" s="250"/>
    </row>
    <row r="44" spans="2:8" ht="14.4" thickBot="1">
      <c r="E44" s="251" t="s">
        <v>358</v>
      </c>
      <c r="F44" s="252" t="s">
        <v>359</v>
      </c>
      <c r="G44" s="252" t="s">
        <v>360</v>
      </c>
      <c r="H44" s="252" t="s">
        <v>361</v>
      </c>
    </row>
    <row r="45" spans="2:8" ht="14.4" thickBot="1">
      <c r="E45" s="253" t="s">
        <v>364</v>
      </c>
      <c r="F45" s="254">
        <v>3.7999999999999999E-2</v>
      </c>
      <c r="G45" s="254">
        <v>4.0099999999999997E-2</v>
      </c>
      <c r="H45" s="254">
        <v>4.6699999999999998E-2</v>
      </c>
    </row>
    <row r="46" spans="2:8" ht="14.4" thickBot="1">
      <c r="E46" s="253" t="s">
        <v>365</v>
      </c>
      <c r="F46" s="254">
        <v>3.2000000000000002E-3</v>
      </c>
      <c r="G46" s="254">
        <v>4.0000000000000001E-3</v>
      </c>
      <c r="H46" s="254">
        <v>7.4000000000000003E-3</v>
      </c>
    </row>
    <row r="47" spans="2:8" ht="14.4" thickBot="1">
      <c r="E47" s="253" t="s">
        <v>366</v>
      </c>
      <c r="F47" s="254">
        <v>5.0000000000000001E-3</v>
      </c>
      <c r="G47" s="254">
        <v>5.5999999999999999E-3</v>
      </c>
      <c r="H47" s="254">
        <v>9.7000000000000003E-3</v>
      </c>
    </row>
    <row r="48" spans="2:8" ht="14.4" thickBot="1">
      <c r="E48" s="253" t="s">
        <v>368</v>
      </c>
      <c r="F48" s="254">
        <v>1.0200000000000001E-2</v>
      </c>
      <c r="G48" s="254">
        <v>1.11E-2</v>
      </c>
      <c r="H48" s="254">
        <v>1.21E-2</v>
      </c>
    </row>
    <row r="49" spans="5:8" ht="14.4" thickBot="1">
      <c r="E49" s="253" t="s">
        <v>371</v>
      </c>
      <c r="F49" s="254">
        <v>6.6400000000000001E-2</v>
      </c>
      <c r="G49" s="254">
        <v>7.2999999999999995E-2</v>
      </c>
      <c r="H49" s="254">
        <v>8.6900000000000005E-2</v>
      </c>
    </row>
    <row r="50" spans="5:8" ht="14.4" thickBot="1">
      <c r="E50" s="253" t="s">
        <v>372</v>
      </c>
      <c r="F50" s="391" t="s">
        <v>373</v>
      </c>
      <c r="G50" s="392"/>
      <c r="H50" s="393"/>
    </row>
    <row r="51" spans="5:8" ht="14.4">
      <c r="E51" s="236"/>
      <c r="F51" s="284">
        <f>F45+F46+F47+F48+F49+8.65%</f>
        <v>0.20929999999999999</v>
      </c>
      <c r="G51" s="284">
        <f>G45+G46+G47+G48+G49+8.65%</f>
        <v>0.2203</v>
      </c>
      <c r="H51" s="284">
        <f>H45+H46+H47+H48+H49+8.65%</f>
        <v>0.24930000000000002</v>
      </c>
    </row>
  </sheetData>
  <mergeCells count="15">
    <mergeCell ref="K28:M28"/>
    <mergeCell ref="A31:B31"/>
    <mergeCell ref="E32:H32"/>
    <mergeCell ref="A5:C5"/>
    <mergeCell ref="A6:D6"/>
    <mergeCell ref="A7:D7"/>
    <mergeCell ref="A8:C8"/>
    <mergeCell ref="J12:M12"/>
    <mergeCell ref="F19:H19"/>
    <mergeCell ref="K19:M19"/>
    <mergeCell ref="E42:E43"/>
    <mergeCell ref="F50:H50"/>
    <mergeCell ref="E20:E21"/>
    <mergeCell ref="J20:J21"/>
    <mergeCell ref="F28:H28"/>
  </mergeCells>
  <pageMargins left="1.26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364F6-914D-4C46-AD49-7B7120FFBCAE}">
  <dimension ref="A1:K14"/>
  <sheetViews>
    <sheetView view="pageBreakPreview" zoomScaleNormal="100" zoomScaleSheetLayoutView="100" workbookViewId="0">
      <selection activeCell="G13" sqref="G13"/>
    </sheetView>
  </sheetViews>
  <sheetFormatPr defaultRowHeight="14.4"/>
  <cols>
    <col min="1" max="1" width="19.6640625" customWidth="1"/>
    <col min="2" max="2" width="38.44140625" customWidth="1"/>
    <col min="3" max="3" width="17.6640625" bestFit="1" customWidth="1"/>
    <col min="4" max="4" width="16.5546875" bestFit="1" customWidth="1"/>
    <col min="5" max="5" width="13.33203125" bestFit="1" customWidth="1"/>
    <col min="6" max="6" width="28.6640625" bestFit="1" customWidth="1"/>
    <col min="7" max="7" width="14.88671875" bestFit="1" customWidth="1"/>
    <col min="8" max="8" width="15" bestFit="1" customWidth="1"/>
    <col min="9" max="9" width="15.33203125" customWidth="1"/>
    <col min="257" max="257" width="19.6640625" customWidth="1"/>
    <col min="258" max="258" width="38.44140625" customWidth="1"/>
    <col min="259" max="259" width="17.6640625" bestFit="1" customWidth="1"/>
    <col min="260" max="260" width="16.5546875" bestFit="1" customWidth="1"/>
    <col min="261" max="261" width="13.33203125" bestFit="1" customWidth="1"/>
    <col min="262" max="262" width="28.6640625" bestFit="1" customWidth="1"/>
    <col min="263" max="263" width="14.88671875" bestFit="1" customWidth="1"/>
    <col min="264" max="264" width="15" bestFit="1" customWidth="1"/>
    <col min="265" max="265" width="15.33203125" customWidth="1"/>
    <col min="513" max="513" width="19.6640625" customWidth="1"/>
    <col min="514" max="514" width="38.44140625" customWidth="1"/>
    <col min="515" max="515" width="17.6640625" bestFit="1" customWidth="1"/>
    <col min="516" max="516" width="16.5546875" bestFit="1" customWidth="1"/>
    <col min="517" max="517" width="13.33203125" bestFit="1" customWidth="1"/>
    <col min="518" max="518" width="28.6640625" bestFit="1" customWidth="1"/>
    <col min="519" max="519" width="14.88671875" bestFit="1" customWidth="1"/>
    <col min="520" max="520" width="15" bestFit="1" customWidth="1"/>
    <col min="521" max="521" width="15.33203125" customWidth="1"/>
    <col min="769" max="769" width="19.6640625" customWidth="1"/>
    <col min="770" max="770" width="38.44140625" customWidth="1"/>
    <col min="771" max="771" width="17.6640625" bestFit="1" customWidth="1"/>
    <col min="772" max="772" width="16.5546875" bestFit="1" customWidth="1"/>
    <col min="773" max="773" width="13.33203125" bestFit="1" customWidth="1"/>
    <col min="774" max="774" width="28.6640625" bestFit="1" customWidth="1"/>
    <col min="775" max="775" width="14.88671875" bestFit="1" customWidth="1"/>
    <col min="776" max="776" width="15" bestFit="1" customWidth="1"/>
    <col min="777" max="777" width="15.33203125" customWidth="1"/>
    <col min="1025" max="1025" width="19.6640625" customWidth="1"/>
    <col min="1026" max="1026" width="38.44140625" customWidth="1"/>
    <col min="1027" max="1027" width="17.6640625" bestFit="1" customWidth="1"/>
    <col min="1028" max="1028" width="16.5546875" bestFit="1" customWidth="1"/>
    <col min="1029" max="1029" width="13.33203125" bestFit="1" customWidth="1"/>
    <col min="1030" max="1030" width="28.6640625" bestFit="1" customWidth="1"/>
    <col min="1031" max="1031" width="14.88671875" bestFit="1" customWidth="1"/>
    <col min="1032" max="1032" width="15" bestFit="1" customWidth="1"/>
    <col min="1033" max="1033" width="15.33203125" customWidth="1"/>
    <col min="1281" max="1281" width="19.6640625" customWidth="1"/>
    <col min="1282" max="1282" width="38.44140625" customWidth="1"/>
    <col min="1283" max="1283" width="17.6640625" bestFit="1" customWidth="1"/>
    <col min="1284" max="1284" width="16.5546875" bestFit="1" customWidth="1"/>
    <col min="1285" max="1285" width="13.33203125" bestFit="1" customWidth="1"/>
    <col min="1286" max="1286" width="28.6640625" bestFit="1" customWidth="1"/>
    <col min="1287" max="1287" width="14.88671875" bestFit="1" customWidth="1"/>
    <col min="1288" max="1288" width="15" bestFit="1" customWidth="1"/>
    <col min="1289" max="1289" width="15.33203125" customWidth="1"/>
    <col min="1537" max="1537" width="19.6640625" customWidth="1"/>
    <col min="1538" max="1538" width="38.44140625" customWidth="1"/>
    <col min="1539" max="1539" width="17.6640625" bestFit="1" customWidth="1"/>
    <col min="1540" max="1540" width="16.5546875" bestFit="1" customWidth="1"/>
    <col min="1541" max="1541" width="13.33203125" bestFit="1" customWidth="1"/>
    <col min="1542" max="1542" width="28.6640625" bestFit="1" customWidth="1"/>
    <col min="1543" max="1543" width="14.88671875" bestFit="1" customWidth="1"/>
    <col min="1544" max="1544" width="15" bestFit="1" customWidth="1"/>
    <col min="1545" max="1545" width="15.33203125" customWidth="1"/>
    <col min="1793" max="1793" width="19.6640625" customWidth="1"/>
    <col min="1794" max="1794" width="38.44140625" customWidth="1"/>
    <col min="1795" max="1795" width="17.6640625" bestFit="1" customWidth="1"/>
    <col min="1796" max="1796" width="16.5546875" bestFit="1" customWidth="1"/>
    <col min="1797" max="1797" width="13.33203125" bestFit="1" customWidth="1"/>
    <col min="1798" max="1798" width="28.6640625" bestFit="1" customWidth="1"/>
    <col min="1799" max="1799" width="14.88671875" bestFit="1" customWidth="1"/>
    <col min="1800" max="1800" width="15" bestFit="1" customWidth="1"/>
    <col min="1801" max="1801" width="15.33203125" customWidth="1"/>
    <col min="2049" max="2049" width="19.6640625" customWidth="1"/>
    <col min="2050" max="2050" width="38.44140625" customWidth="1"/>
    <col min="2051" max="2051" width="17.6640625" bestFit="1" customWidth="1"/>
    <col min="2052" max="2052" width="16.5546875" bestFit="1" customWidth="1"/>
    <col min="2053" max="2053" width="13.33203125" bestFit="1" customWidth="1"/>
    <col min="2054" max="2054" width="28.6640625" bestFit="1" customWidth="1"/>
    <col min="2055" max="2055" width="14.88671875" bestFit="1" customWidth="1"/>
    <col min="2056" max="2056" width="15" bestFit="1" customWidth="1"/>
    <col min="2057" max="2057" width="15.33203125" customWidth="1"/>
    <col min="2305" max="2305" width="19.6640625" customWidth="1"/>
    <col min="2306" max="2306" width="38.44140625" customWidth="1"/>
    <col min="2307" max="2307" width="17.6640625" bestFit="1" customWidth="1"/>
    <col min="2308" max="2308" width="16.5546875" bestFit="1" customWidth="1"/>
    <col min="2309" max="2309" width="13.33203125" bestFit="1" customWidth="1"/>
    <col min="2310" max="2310" width="28.6640625" bestFit="1" customWidth="1"/>
    <col min="2311" max="2311" width="14.88671875" bestFit="1" customWidth="1"/>
    <col min="2312" max="2312" width="15" bestFit="1" customWidth="1"/>
    <col min="2313" max="2313" width="15.33203125" customWidth="1"/>
    <col min="2561" max="2561" width="19.6640625" customWidth="1"/>
    <col min="2562" max="2562" width="38.44140625" customWidth="1"/>
    <col min="2563" max="2563" width="17.6640625" bestFit="1" customWidth="1"/>
    <col min="2564" max="2564" width="16.5546875" bestFit="1" customWidth="1"/>
    <col min="2565" max="2565" width="13.33203125" bestFit="1" customWidth="1"/>
    <col min="2566" max="2566" width="28.6640625" bestFit="1" customWidth="1"/>
    <col min="2567" max="2567" width="14.88671875" bestFit="1" customWidth="1"/>
    <col min="2568" max="2568" width="15" bestFit="1" customWidth="1"/>
    <col min="2569" max="2569" width="15.33203125" customWidth="1"/>
    <col min="2817" max="2817" width="19.6640625" customWidth="1"/>
    <col min="2818" max="2818" width="38.44140625" customWidth="1"/>
    <col min="2819" max="2819" width="17.6640625" bestFit="1" customWidth="1"/>
    <col min="2820" max="2820" width="16.5546875" bestFit="1" customWidth="1"/>
    <col min="2821" max="2821" width="13.33203125" bestFit="1" customWidth="1"/>
    <col min="2822" max="2822" width="28.6640625" bestFit="1" customWidth="1"/>
    <col min="2823" max="2823" width="14.88671875" bestFit="1" customWidth="1"/>
    <col min="2824" max="2824" width="15" bestFit="1" customWidth="1"/>
    <col min="2825" max="2825" width="15.33203125" customWidth="1"/>
    <col min="3073" max="3073" width="19.6640625" customWidth="1"/>
    <col min="3074" max="3074" width="38.44140625" customWidth="1"/>
    <col min="3075" max="3075" width="17.6640625" bestFit="1" customWidth="1"/>
    <col min="3076" max="3076" width="16.5546875" bestFit="1" customWidth="1"/>
    <col min="3077" max="3077" width="13.33203125" bestFit="1" customWidth="1"/>
    <col min="3078" max="3078" width="28.6640625" bestFit="1" customWidth="1"/>
    <col min="3079" max="3079" width="14.88671875" bestFit="1" customWidth="1"/>
    <col min="3080" max="3080" width="15" bestFit="1" customWidth="1"/>
    <col min="3081" max="3081" width="15.33203125" customWidth="1"/>
    <col min="3329" max="3329" width="19.6640625" customWidth="1"/>
    <col min="3330" max="3330" width="38.44140625" customWidth="1"/>
    <col min="3331" max="3331" width="17.6640625" bestFit="1" customWidth="1"/>
    <col min="3332" max="3332" width="16.5546875" bestFit="1" customWidth="1"/>
    <col min="3333" max="3333" width="13.33203125" bestFit="1" customWidth="1"/>
    <col min="3334" max="3334" width="28.6640625" bestFit="1" customWidth="1"/>
    <col min="3335" max="3335" width="14.88671875" bestFit="1" customWidth="1"/>
    <col min="3336" max="3336" width="15" bestFit="1" customWidth="1"/>
    <col min="3337" max="3337" width="15.33203125" customWidth="1"/>
    <col min="3585" max="3585" width="19.6640625" customWidth="1"/>
    <col min="3586" max="3586" width="38.44140625" customWidth="1"/>
    <col min="3587" max="3587" width="17.6640625" bestFit="1" customWidth="1"/>
    <col min="3588" max="3588" width="16.5546875" bestFit="1" customWidth="1"/>
    <col min="3589" max="3589" width="13.33203125" bestFit="1" customWidth="1"/>
    <col min="3590" max="3590" width="28.6640625" bestFit="1" customWidth="1"/>
    <col min="3591" max="3591" width="14.88671875" bestFit="1" customWidth="1"/>
    <col min="3592" max="3592" width="15" bestFit="1" customWidth="1"/>
    <col min="3593" max="3593" width="15.33203125" customWidth="1"/>
    <col min="3841" max="3841" width="19.6640625" customWidth="1"/>
    <col min="3842" max="3842" width="38.44140625" customWidth="1"/>
    <col min="3843" max="3843" width="17.6640625" bestFit="1" customWidth="1"/>
    <col min="3844" max="3844" width="16.5546875" bestFit="1" customWidth="1"/>
    <col min="3845" max="3845" width="13.33203125" bestFit="1" customWidth="1"/>
    <col min="3846" max="3846" width="28.6640625" bestFit="1" customWidth="1"/>
    <col min="3847" max="3847" width="14.88671875" bestFit="1" customWidth="1"/>
    <col min="3848" max="3848" width="15" bestFit="1" customWidth="1"/>
    <col min="3849" max="3849" width="15.33203125" customWidth="1"/>
    <col min="4097" max="4097" width="19.6640625" customWidth="1"/>
    <col min="4098" max="4098" width="38.44140625" customWidth="1"/>
    <col min="4099" max="4099" width="17.6640625" bestFit="1" customWidth="1"/>
    <col min="4100" max="4100" width="16.5546875" bestFit="1" customWidth="1"/>
    <col min="4101" max="4101" width="13.33203125" bestFit="1" customWidth="1"/>
    <col min="4102" max="4102" width="28.6640625" bestFit="1" customWidth="1"/>
    <col min="4103" max="4103" width="14.88671875" bestFit="1" customWidth="1"/>
    <col min="4104" max="4104" width="15" bestFit="1" customWidth="1"/>
    <col min="4105" max="4105" width="15.33203125" customWidth="1"/>
    <col min="4353" max="4353" width="19.6640625" customWidth="1"/>
    <col min="4354" max="4354" width="38.44140625" customWidth="1"/>
    <col min="4355" max="4355" width="17.6640625" bestFit="1" customWidth="1"/>
    <col min="4356" max="4356" width="16.5546875" bestFit="1" customWidth="1"/>
    <col min="4357" max="4357" width="13.33203125" bestFit="1" customWidth="1"/>
    <col min="4358" max="4358" width="28.6640625" bestFit="1" customWidth="1"/>
    <col min="4359" max="4359" width="14.88671875" bestFit="1" customWidth="1"/>
    <col min="4360" max="4360" width="15" bestFit="1" customWidth="1"/>
    <col min="4361" max="4361" width="15.33203125" customWidth="1"/>
    <col min="4609" max="4609" width="19.6640625" customWidth="1"/>
    <col min="4610" max="4610" width="38.44140625" customWidth="1"/>
    <col min="4611" max="4611" width="17.6640625" bestFit="1" customWidth="1"/>
    <col min="4612" max="4612" width="16.5546875" bestFit="1" customWidth="1"/>
    <col min="4613" max="4613" width="13.33203125" bestFit="1" customWidth="1"/>
    <col min="4614" max="4614" width="28.6640625" bestFit="1" customWidth="1"/>
    <col min="4615" max="4615" width="14.88671875" bestFit="1" customWidth="1"/>
    <col min="4616" max="4616" width="15" bestFit="1" customWidth="1"/>
    <col min="4617" max="4617" width="15.33203125" customWidth="1"/>
    <col min="4865" max="4865" width="19.6640625" customWidth="1"/>
    <col min="4866" max="4866" width="38.44140625" customWidth="1"/>
    <col min="4867" max="4867" width="17.6640625" bestFit="1" customWidth="1"/>
    <col min="4868" max="4868" width="16.5546875" bestFit="1" customWidth="1"/>
    <col min="4869" max="4869" width="13.33203125" bestFit="1" customWidth="1"/>
    <col min="4870" max="4870" width="28.6640625" bestFit="1" customWidth="1"/>
    <col min="4871" max="4871" width="14.88671875" bestFit="1" customWidth="1"/>
    <col min="4872" max="4872" width="15" bestFit="1" customWidth="1"/>
    <col min="4873" max="4873" width="15.33203125" customWidth="1"/>
    <col min="5121" max="5121" width="19.6640625" customWidth="1"/>
    <col min="5122" max="5122" width="38.44140625" customWidth="1"/>
    <col min="5123" max="5123" width="17.6640625" bestFit="1" customWidth="1"/>
    <col min="5124" max="5124" width="16.5546875" bestFit="1" customWidth="1"/>
    <col min="5125" max="5125" width="13.33203125" bestFit="1" customWidth="1"/>
    <col min="5126" max="5126" width="28.6640625" bestFit="1" customWidth="1"/>
    <col min="5127" max="5127" width="14.88671875" bestFit="1" customWidth="1"/>
    <col min="5128" max="5128" width="15" bestFit="1" customWidth="1"/>
    <col min="5129" max="5129" width="15.33203125" customWidth="1"/>
    <col min="5377" max="5377" width="19.6640625" customWidth="1"/>
    <col min="5378" max="5378" width="38.44140625" customWidth="1"/>
    <col min="5379" max="5379" width="17.6640625" bestFit="1" customWidth="1"/>
    <col min="5380" max="5380" width="16.5546875" bestFit="1" customWidth="1"/>
    <col min="5381" max="5381" width="13.33203125" bestFit="1" customWidth="1"/>
    <col min="5382" max="5382" width="28.6640625" bestFit="1" customWidth="1"/>
    <col min="5383" max="5383" width="14.88671875" bestFit="1" customWidth="1"/>
    <col min="5384" max="5384" width="15" bestFit="1" customWidth="1"/>
    <col min="5385" max="5385" width="15.33203125" customWidth="1"/>
    <col min="5633" max="5633" width="19.6640625" customWidth="1"/>
    <col min="5634" max="5634" width="38.44140625" customWidth="1"/>
    <col min="5635" max="5635" width="17.6640625" bestFit="1" customWidth="1"/>
    <col min="5636" max="5636" width="16.5546875" bestFit="1" customWidth="1"/>
    <col min="5637" max="5637" width="13.33203125" bestFit="1" customWidth="1"/>
    <col min="5638" max="5638" width="28.6640625" bestFit="1" customWidth="1"/>
    <col min="5639" max="5639" width="14.88671875" bestFit="1" customWidth="1"/>
    <col min="5640" max="5640" width="15" bestFit="1" customWidth="1"/>
    <col min="5641" max="5641" width="15.33203125" customWidth="1"/>
    <col min="5889" max="5889" width="19.6640625" customWidth="1"/>
    <col min="5890" max="5890" width="38.44140625" customWidth="1"/>
    <col min="5891" max="5891" width="17.6640625" bestFit="1" customWidth="1"/>
    <col min="5892" max="5892" width="16.5546875" bestFit="1" customWidth="1"/>
    <col min="5893" max="5893" width="13.33203125" bestFit="1" customWidth="1"/>
    <col min="5894" max="5894" width="28.6640625" bestFit="1" customWidth="1"/>
    <col min="5895" max="5895" width="14.88671875" bestFit="1" customWidth="1"/>
    <col min="5896" max="5896" width="15" bestFit="1" customWidth="1"/>
    <col min="5897" max="5897" width="15.33203125" customWidth="1"/>
    <col min="6145" max="6145" width="19.6640625" customWidth="1"/>
    <col min="6146" max="6146" width="38.44140625" customWidth="1"/>
    <col min="6147" max="6147" width="17.6640625" bestFit="1" customWidth="1"/>
    <col min="6148" max="6148" width="16.5546875" bestFit="1" customWidth="1"/>
    <col min="6149" max="6149" width="13.33203125" bestFit="1" customWidth="1"/>
    <col min="6150" max="6150" width="28.6640625" bestFit="1" customWidth="1"/>
    <col min="6151" max="6151" width="14.88671875" bestFit="1" customWidth="1"/>
    <col min="6152" max="6152" width="15" bestFit="1" customWidth="1"/>
    <col min="6153" max="6153" width="15.33203125" customWidth="1"/>
    <col min="6401" max="6401" width="19.6640625" customWidth="1"/>
    <col min="6402" max="6402" width="38.44140625" customWidth="1"/>
    <col min="6403" max="6403" width="17.6640625" bestFit="1" customWidth="1"/>
    <col min="6404" max="6404" width="16.5546875" bestFit="1" customWidth="1"/>
    <col min="6405" max="6405" width="13.33203125" bestFit="1" customWidth="1"/>
    <col min="6406" max="6406" width="28.6640625" bestFit="1" customWidth="1"/>
    <col min="6407" max="6407" width="14.88671875" bestFit="1" customWidth="1"/>
    <col min="6408" max="6408" width="15" bestFit="1" customWidth="1"/>
    <col min="6409" max="6409" width="15.33203125" customWidth="1"/>
    <col min="6657" max="6657" width="19.6640625" customWidth="1"/>
    <col min="6658" max="6658" width="38.44140625" customWidth="1"/>
    <col min="6659" max="6659" width="17.6640625" bestFit="1" customWidth="1"/>
    <col min="6660" max="6660" width="16.5546875" bestFit="1" customWidth="1"/>
    <col min="6661" max="6661" width="13.33203125" bestFit="1" customWidth="1"/>
    <col min="6662" max="6662" width="28.6640625" bestFit="1" customWidth="1"/>
    <col min="6663" max="6663" width="14.88671875" bestFit="1" customWidth="1"/>
    <col min="6664" max="6664" width="15" bestFit="1" customWidth="1"/>
    <col min="6665" max="6665" width="15.33203125" customWidth="1"/>
    <col min="6913" max="6913" width="19.6640625" customWidth="1"/>
    <col min="6914" max="6914" width="38.44140625" customWidth="1"/>
    <col min="6915" max="6915" width="17.6640625" bestFit="1" customWidth="1"/>
    <col min="6916" max="6916" width="16.5546875" bestFit="1" customWidth="1"/>
    <col min="6917" max="6917" width="13.33203125" bestFit="1" customWidth="1"/>
    <col min="6918" max="6918" width="28.6640625" bestFit="1" customWidth="1"/>
    <col min="6919" max="6919" width="14.88671875" bestFit="1" customWidth="1"/>
    <col min="6920" max="6920" width="15" bestFit="1" customWidth="1"/>
    <col min="6921" max="6921" width="15.33203125" customWidth="1"/>
    <col min="7169" max="7169" width="19.6640625" customWidth="1"/>
    <col min="7170" max="7170" width="38.44140625" customWidth="1"/>
    <col min="7171" max="7171" width="17.6640625" bestFit="1" customWidth="1"/>
    <col min="7172" max="7172" width="16.5546875" bestFit="1" customWidth="1"/>
    <col min="7173" max="7173" width="13.33203125" bestFit="1" customWidth="1"/>
    <col min="7174" max="7174" width="28.6640625" bestFit="1" customWidth="1"/>
    <col min="7175" max="7175" width="14.88671875" bestFit="1" customWidth="1"/>
    <col min="7176" max="7176" width="15" bestFit="1" customWidth="1"/>
    <col min="7177" max="7177" width="15.33203125" customWidth="1"/>
    <col min="7425" max="7425" width="19.6640625" customWidth="1"/>
    <col min="7426" max="7426" width="38.44140625" customWidth="1"/>
    <col min="7427" max="7427" width="17.6640625" bestFit="1" customWidth="1"/>
    <col min="7428" max="7428" width="16.5546875" bestFit="1" customWidth="1"/>
    <col min="7429" max="7429" width="13.33203125" bestFit="1" customWidth="1"/>
    <col min="7430" max="7430" width="28.6640625" bestFit="1" customWidth="1"/>
    <col min="7431" max="7431" width="14.88671875" bestFit="1" customWidth="1"/>
    <col min="7432" max="7432" width="15" bestFit="1" customWidth="1"/>
    <col min="7433" max="7433" width="15.33203125" customWidth="1"/>
    <col min="7681" max="7681" width="19.6640625" customWidth="1"/>
    <col min="7682" max="7682" width="38.44140625" customWidth="1"/>
    <col min="7683" max="7683" width="17.6640625" bestFit="1" customWidth="1"/>
    <col min="7684" max="7684" width="16.5546875" bestFit="1" customWidth="1"/>
    <col min="7685" max="7685" width="13.33203125" bestFit="1" customWidth="1"/>
    <col min="7686" max="7686" width="28.6640625" bestFit="1" customWidth="1"/>
    <col min="7687" max="7687" width="14.88671875" bestFit="1" customWidth="1"/>
    <col min="7688" max="7688" width="15" bestFit="1" customWidth="1"/>
    <col min="7689" max="7689" width="15.33203125" customWidth="1"/>
    <col min="7937" max="7937" width="19.6640625" customWidth="1"/>
    <col min="7938" max="7938" width="38.44140625" customWidth="1"/>
    <col min="7939" max="7939" width="17.6640625" bestFit="1" customWidth="1"/>
    <col min="7940" max="7940" width="16.5546875" bestFit="1" customWidth="1"/>
    <col min="7941" max="7941" width="13.33203125" bestFit="1" customWidth="1"/>
    <col min="7942" max="7942" width="28.6640625" bestFit="1" customWidth="1"/>
    <col min="7943" max="7943" width="14.88671875" bestFit="1" customWidth="1"/>
    <col min="7944" max="7944" width="15" bestFit="1" customWidth="1"/>
    <col min="7945" max="7945" width="15.33203125" customWidth="1"/>
    <col min="8193" max="8193" width="19.6640625" customWidth="1"/>
    <col min="8194" max="8194" width="38.44140625" customWidth="1"/>
    <col min="8195" max="8195" width="17.6640625" bestFit="1" customWidth="1"/>
    <col min="8196" max="8196" width="16.5546875" bestFit="1" customWidth="1"/>
    <col min="8197" max="8197" width="13.33203125" bestFit="1" customWidth="1"/>
    <col min="8198" max="8198" width="28.6640625" bestFit="1" customWidth="1"/>
    <col min="8199" max="8199" width="14.88671875" bestFit="1" customWidth="1"/>
    <col min="8200" max="8200" width="15" bestFit="1" customWidth="1"/>
    <col min="8201" max="8201" width="15.33203125" customWidth="1"/>
    <col min="8449" max="8449" width="19.6640625" customWidth="1"/>
    <col min="8450" max="8450" width="38.44140625" customWidth="1"/>
    <col min="8451" max="8451" width="17.6640625" bestFit="1" customWidth="1"/>
    <col min="8452" max="8452" width="16.5546875" bestFit="1" customWidth="1"/>
    <col min="8453" max="8453" width="13.33203125" bestFit="1" customWidth="1"/>
    <col min="8454" max="8454" width="28.6640625" bestFit="1" customWidth="1"/>
    <col min="8455" max="8455" width="14.88671875" bestFit="1" customWidth="1"/>
    <col min="8456" max="8456" width="15" bestFit="1" customWidth="1"/>
    <col min="8457" max="8457" width="15.33203125" customWidth="1"/>
    <col min="8705" max="8705" width="19.6640625" customWidth="1"/>
    <col min="8706" max="8706" width="38.44140625" customWidth="1"/>
    <col min="8707" max="8707" width="17.6640625" bestFit="1" customWidth="1"/>
    <col min="8708" max="8708" width="16.5546875" bestFit="1" customWidth="1"/>
    <col min="8709" max="8709" width="13.33203125" bestFit="1" customWidth="1"/>
    <col min="8710" max="8710" width="28.6640625" bestFit="1" customWidth="1"/>
    <col min="8711" max="8711" width="14.88671875" bestFit="1" customWidth="1"/>
    <col min="8712" max="8712" width="15" bestFit="1" customWidth="1"/>
    <col min="8713" max="8713" width="15.33203125" customWidth="1"/>
    <col min="8961" max="8961" width="19.6640625" customWidth="1"/>
    <col min="8962" max="8962" width="38.44140625" customWidth="1"/>
    <col min="8963" max="8963" width="17.6640625" bestFit="1" customWidth="1"/>
    <col min="8964" max="8964" width="16.5546875" bestFit="1" customWidth="1"/>
    <col min="8965" max="8965" width="13.33203125" bestFit="1" customWidth="1"/>
    <col min="8966" max="8966" width="28.6640625" bestFit="1" customWidth="1"/>
    <col min="8967" max="8967" width="14.88671875" bestFit="1" customWidth="1"/>
    <col min="8968" max="8968" width="15" bestFit="1" customWidth="1"/>
    <col min="8969" max="8969" width="15.33203125" customWidth="1"/>
    <col min="9217" max="9217" width="19.6640625" customWidth="1"/>
    <col min="9218" max="9218" width="38.44140625" customWidth="1"/>
    <col min="9219" max="9219" width="17.6640625" bestFit="1" customWidth="1"/>
    <col min="9220" max="9220" width="16.5546875" bestFit="1" customWidth="1"/>
    <col min="9221" max="9221" width="13.33203125" bestFit="1" customWidth="1"/>
    <col min="9222" max="9222" width="28.6640625" bestFit="1" customWidth="1"/>
    <col min="9223" max="9223" width="14.88671875" bestFit="1" customWidth="1"/>
    <col min="9224" max="9224" width="15" bestFit="1" customWidth="1"/>
    <col min="9225" max="9225" width="15.33203125" customWidth="1"/>
    <col min="9473" max="9473" width="19.6640625" customWidth="1"/>
    <col min="9474" max="9474" width="38.44140625" customWidth="1"/>
    <col min="9475" max="9475" width="17.6640625" bestFit="1" customWidth="1"/>
    <col min="9476" max="9476" width="16.5546875" bestFit="1" customWidth="1"/>
    <col min="9477" max="9477" width="13.33203125" bestFit="1" customWidth="1"/>
    <col min="9478" max="9478" width="28.6640625" bestFit="1" customWidth="1"/>
    <col min="9479" max="9479" width="14.88671875" bestFit="1" customWidth="1"/>
    <col min="9480" max="9480" width="15" bestFit="1" customWidth="1"/>
    <col min="9481" max="9481" width="15.33203125" customWidth="1"/>
    <col min="9729" max="9729" width="19.6640625" customWidth="1"/>
    <col min="9730" max="9730" width="38.44140625" customWidth="1"/>
    <col min="9731" max="9731" width="17.6640625" bestFit="1" customWidth="1"/>
    <col min="9732" max="9732" width="16.5546875" bestFit="1" customWidth="1"/>
    <col min="9733" max="9733" width="13.33203125" bestFit="1" customWidth="1"/>
    <col min="9734" max="9734" width="28.6640625" bestFit="1" customWidth="1"/>
    <col min="9735" max="9735" width="14.88671875" bestFit="1" customWidth="1"/>
    <col min="9736" max="9736" width="15" bestFit="1" customWidth="1"/>
    <col min="9737" max="9737" width="15.33203125" customWidth="1"/>
    <col min="9985" max="9985" width="19.6640625" customWidth="1"/>
    <col min="9986" max="9986" width="38.44140625" customWidth="1"/>
    <col min="9987" max="9987" width="17.6640625" bestFit="1" customWidth="1"/>
    <col min="9988" max="9988" width="16.5546875" bestFit="1" customWidth="1"/>
    <col min="9989" max="9989" width="13.33203125" bestFit="1" customWidth="1"/>
    <col min="9990" max="9990" width="28.6640625" bestFit="1" customWidth="1"/>
    <col min="9991" max="9991" width="14.88671875" bestFit="1" customWidth="1"/>
    <col min="9992" max="9992" width="15" bestFit="1" customWidth="1"/>
    <col min="9993" max="9993" width="15.33203125" customWidth="1"/>
    <col min="10241" max="10241" width="19.6640625" customWidth="1"/>
    <col min="10242" max="10242" width="38.44140625" customWidth="1"/>
    <col min="10243" max="10243" width="17.6640625" bestFit="1" customWidth="1"/>
    <col min="10244" max="10244" width="16.5546875" bestFit="1" customWidth="1"/>
    <col min="10245" max="10245" width="13.33203125" bestFit="1" customWidth="1"/>
    <col min="10246" max="10246" width="28.6640625" bestFit="1" customWidth="1"/>
    <col min="10247" max="10247" width="14.88671875" bestFit="1" customWidth="1"/>
    <col min="10248" max="10248" width="15" bestFit="1" customWidth="1"/>
    <col min="10249" max="10249" width="15.33203125" customWidth="1"/>
    <col min="10497" max="10497" width="19.6640625" customWidth="1"/>
    <col min="10498" max="10498" width="38.44140625" customWidth="1"/>
    <col min="10499" max="10499" width="17.6640625" bestFit="1" customWidth="1"/>
    <col min="10500" max="10500" width="16.5546875" bestFit="1" customWidth="1"/>
    <col min="10501" max="10501" width="13.33203125" bestFit="1" customWidth="1"/>
    <col min="10502" max="10502" width="28.6640625" bestFit="1" customWidth="1"/>
    <col min="10503" max="10503" width="14.88671875" bestFit="1" customWidth="1"/>
    <col min="10504" max="10504" width="15" bestFit="1" customWidth="1"/>
    <col min="10505" max="10505" width="15.33203125" customWidth="1"/>
    <col min="10753" max="10753" width="19.6640625" customWidth="1"/>
    <col min="10754" max="10754" width="38.44140625" customWidth="1"/>
    <col min="10755" max="10755" width="17.6640625" bestFit="1" customWidth="1"/>
    <col min="10756" max="10756" width="16.5546875" bestFit="1" customWidth="1"/>
    <col min="10757" max="10757" width="13.33203125" bestFit="1" customWidth="1"/>
    <col min="10758" max="10758" width="28.6640625" bestFit="1" customWidth="1"/>
    <col min="10759" max="10759" width="14.88671875" bestFit="1" customWidth="1"/>
    <col min="10760" max="10760" width="15" bestFit="1" customWidth="1"/>
    <col min="10761" max="10761" width="15.33203125" customWidth="1"/>
    <col min="11009" max="11009" width="19.6640625" customWidth="1"/>
    <col min="11010" max="11010" width="38.44140625" customWidth="1"/>
    <col min="11011" max="11011" width="17.6640625" bestFit="1" customWidth="1"/>
    <col min="11012" max="11012" width="16.5546875" bestFit="1" customWidth="1"/>
    <col min="11013" max="11013" width="13.33203125" bestFit="1" customWidth="1"/>
    <col min="11014" max="11014" width="28.6640625" bestFit="1" customWidth="1"/>
    <col min="11015" max="11015" width="14.88671875" bestFit="1" customWidth="1"/>
    <col min="11016" max="11016" width="15" bestFit="1" customWidth="1"/>
    <col min="11017" max="11017" width="15.33203125" customWidth="1"/>
    <col min="11265" max="11265" width="19.6640625" customWidth="1"/>
    <col min="11266" max="11266" width="38.44140625" customWidth="1"/>
    <col min="11267" max="11267" width="17.6640625" bestFit="1" customWidth="1"/>
    <col min="11268" max="11268" width="16.5546875" bestFit="1" customWidth="1"/>
    <col min="11269" max="11269" width="13.33203125" bestFit="1" customWidth="1"/>
    <col min="11270" max="11270" width="28.6640625" bestFit="1" customWidth="1"/>
    <col min="11271" max="11271" width="14.88671875" bestFit="1" customWidth="1"/>
    <col min="11272" max="11272" width="15" bestFit="1" customWidth="1"/>
    <col min="11273" max="11273" width="15.33203125" customWidth="1"/>
    <col min="11521" max="11521" width="19.6640625" customWidth="1"/>
    <col min="11522" max="11522" width="38.44140625" customWidth="1"/>
    <col min="11523" max="11523" width="17.6640625" bestFit="1" customWidth="1"/>
    <col min="11524" max="11524" width="16.5546875" bestFit="1" customWidth="1"/>
    <col min="11525" max="11525" width="13.33203125" bestFit="1" customWidth="1"/>
    <col min="11526" max="11526" width="28.6640625" bestFit="1" customWidth="1"/>
    <col min="11527" max="11527" width="14.88671875" bestFit="1" customWidth="1"/>
    <col min="11528" max="11528" width="15" bestFit="1" customWidth="1"/>
    <col min="11529" max="11529" width="15.33203125" customWidth="1"/>
    <col min="11777" max="11777" width="19.6640625" customWidth="1"/>
    <col min="11778" max="11778" width="38.44140625" customWidth="1"/>
    <col min="11779" max="11779" width="17.6640625" bestFit="1" customWidth="1"/>
    <col min="11780" max="11780" width="16.5546875" bestFit="1" customWidth="1"/>
    <col min="11781" max="11781" width="13.33203125" bestFit="1" customWidth="1"/>
    <col min="11782" max="11782" width="28.6640625" bestFit="1" customWidth="1"/>
    <col min="11783" max="11783" width="14.88671875" bestFit="1" customWidth="1"/>
    <col min="11784" max="11784" width="15" bestFit="1" customWidth="1"/>
    <col min="11785" max="11785" width="15.33203125" customWidth="1"/>
    <col min="12033" max="12033" width="19.6640625" customWidth="1"/>
    <col min="12034" max="12034" width="38.44140625" customWidth="1"/>
    <col min="12035" max="12035" width="17.6640625" bestFit="1" customWidth="1"/>
    <col min="12036" max="12036" width="16.5546875" bestFit="1" customWidth="1"/>
    <col min="12037" max="12037" width="13.33203125" bestFit="1" customWidth="1"/>
    <col min="12038" max="12038" width="28.6640625" bestFit="1" customWidth="1"/>
    <col min="12039" max="12039" width="14.88671875" bestFit="1" customWidth="1"/>
    <col min="12040" max="12040" width="15" bestFit="1" customWidth="1"/>
    <col min="12041" max="12041" width="15.33203125" customWidth="1"/>
    <col min="12289" max="12289" width="19.6640625" customWidth="1"/>
    <col min="12290" max="12290" width="38.44140625" customWidth="1"/>
    <col min="12291" max="12291" width="17.6640625" bestFit="1" customWidth="1"/>
    <col min="12292" max="12292" width="16.5546875" bestFit="1" customWidth="1"/>
    <col min="12293" max="12293" width="13.33203125" bestFit="1" customWidth="1"/>
    <col min="12294" max="12294" width="28.6640625" bestFit="1" customWidth="1"/>
    <col min="12295" max="12295" width="14.88671875" bestFit="1" customWidth="1"/>
    <col min="12296" max="12296" width="15" bestFit="1" customWidth="1"/>
    <col min="12297" max="12297" width="15.33203125" customWidth="1"/>
    <col min="12545" max="12545" width="19.6640625" customWidth="1"/>
    <col min="12546" max="12546" width="38.44140625" customWidth="1"/>
    <col min="12547" max="12547" width="17.6640625" bestFit="1" customWidth="1"/>
    <col min="12548" max="12548" width="16.5546875" bestFit="1" customWidth="1"/>
    <col min="12549" max="12549" width="13.33203125" bestFit="1" customWidth="1"/>
    <col min="12550" max="12550" width="28.6640625" bestFit="1" customWidth="1"/>
    <col min="12551" max="12551" width="14.88671875" bestFit="1" customWidth="1"/>
    <col min="12552" max="12552" width="15" bestFit="1" customWidth="1"/>
    <col min="12553" max="12553" width="15.33203125" customWidth="1"/>
    <col min="12801" max="12801" width="19.6640625" customWidth="1"/>
    <col min="12802" max="12802" width="38.44140625" customWidth="1"/>
    <col min="12803" max="12803" width="17.6640625" bestFit="1" customWidth="1"/>
    <col min="12804" max="12804" width="16.5546875" bestFit="1" customWidth="1"/>
    <col min="12805" max="12805" width="13.33203125" bestFit="1" customWidth="1"/>
    <col min="12806" max="12806" width="28.6640625" bestFit="1" customWidth="1"/>
    <col min="12807" max="12807" width="14.88671875" bestFit="1" customWidth="1"/>
    <col min="12808" max="12808" width="15" bestFit="1" customWidth="1"/>
    <col min="12809" max="12809" width="15.33203125" customWidth="1"/>
    <col min="13057" max="13057" width="19.6640625" customWidth="1"/>
    <col min="13058" max="13058" width="38.44140625" customWidth="1"/>
    <col min="13059" max="13059" width="17.6640625" bestFit="1" customWidth="1"/>
    <col min="13060" max="13060" width="16.5546875" bestFit="1" customWidth="1"/>
    <col min="13061" max="13061" width="13.33203125" bestFit="1" customWidth="1"/>
    <col min="13062" max="13062" width="28.6640625" bestFit="1" customWidth="1"/>
    <col min="13063" max="13063" width="14.88671875" bestFit="1" customWidth="1"/>
    <col min="13064" max="13064" width="15" bestFit="1" customWidth="1"/>
    <col min="13065" max="13065" width="15.33203125" customWidth="1"/>
    <col min="13313" max="13313" width="19.6640625" customWidth="1"/>
    <col min="13314" max="13314" width="38.44140625" customWidth="1"/>
    <col min="13315" max="13315" width="17.6640625" bestFit="1" customWidth="1"/>
    <col min="13316" max="13316" width="16.5546875" bestFit="1" customWidth="1"/>
    <col min="13317" max="13317" width="13.33203125" bestFit="1" customWidth="1"/>
    <col min="13318" max="13318" width="28.6640625" bestFit="1" customWidth="1"/>
    <col min="13319" max="13319" width="14.88671875" bestFit="1" customWidth="1"/>
    <col min="13320" max="13320" width="15" bestFit="1" customWidth="1"/>
    <col min="13321" max="13321" width="15.33203125" customWidth="1"/>
    <col min="13569" max="13569" width="19.6640625" customWidth="1"/>
    <col min="13570" max="13570" width="38.44140625" customWidth="1"/>
    <col min="13571" max="13571" width="17.6640625" bestFit="1" customWidth="1"/>
    <col min="13572" max="13572" width="16.5546875" bestFit="1" customWidth="1"/>
    <col min="13573" max="13573" width="13.33203125" bestFit="1" customWidth="1"/>
    <col min="13574" max="13574" width="28.6640625" bestFit="1" customWidth="1"/>
    <col min="13575" max="13575" width="14.88671875" bestFit="1" customWidth="1"/>
    <col min="13576" max="13576" width="15" bestFit="1" customWidth="1"/>
    <col min="13577" max="13577" width="15.33203125" customWidth="1"/>
    <col min="13825" max="13825" width="19.6640625" customWidth="1"/>
    <col min="13826" max="13826" width="38.44140625" customWidth="1"/>
    <col min="13827" max="13827" width="17.6640625" bestFit="1" customWidth="1"/>
    <col min="13828" max="13828" width="16.5546875" bestFit="1" customWidth="1"/>
    <col min="13829" max="13829" width="13.33203125" bestFit="1" customWidth="1"/>
    <col min="13830" max="13830" width="28.6640625" bestFit="1" customWidth="1"/>
    <col min="13831" max="13831" width="14.88671875" bestFit="1" customWidth="1"/>
    <col min="13832" max="13832" width="15" bestFit="1" customWidth="1"/>
    <col min="13833" max="13833" width="15.33203125" customWidth="1"/>
    <col min="14081" max="14081" width="19.6640625" customWidth="1"/>
    <col min="14082" max="14082" width="38.44140625" customWidth="1"/>
    <col min="14083" max="14083" width="17.6640625" bestFit="1" customWidth="1"/>
    <col min="14084" max="14084" width="16.5546875" bestFit="1" customWidth="1"/>
    <col min="14085" max="14085" width="13.33203125" bestFit="1" customWidth="1"/>
    <col min="14086" max="14086" width="28.6640625" bestFit="1" customWidth="1"/>
    <col min="14087" max="14087" width="14.88671875" bestFit="1" customWidth="1"/>
    <col min="14088" max="14088" width="15" bestFit="1" customWidth="1"/>
    <col min="14089" max="14089" width="15.33203125" customWidth="1"/>
    <col min="14337" max="14337" width="19.6640625" customWidth="1"/>
    <col min="14338" max="14338" width="38.44140625" customWidth="1"/>
    <col min="14339" max="14339" width="17.6640625" bestFit="1" customWidth="1"/>
    <col min="14340" max="14340" width="16.5546875" bestFit="1" customWidth="1"/>
    <col min="14341" max="14341" width="13.33203125" bestFit="1" customWidth="1"/>
    <col min="14342" max="14342" width="28.6640625" bestFit="1" customWidth="1"/>
    <col min="14343" max="14343" width="14.88671875" bestFit="1" customWidth="1"/>
    <col min="14344" max="14344" width="15" bestFit="1" customWidth="1"/>
    <col min="14345" max="14345" width="15.33203125" customWidth="1"/>
    <col min="14593" max="14593" width="19.6640625" customWidth="1"/>
    <col min="14594" max="14594" width="38.44140625" customWidth="1"/>
    <col min="14595" max="14595" width="17.6640625" bestFit="1" customWidth="1"/>
    <col min="14596" max="14596" width="16.5546875" bestFit="1" customWidth="1"/>
    <col min="14597" max="14597" width="13.33203125" bestFit="1" customWidth="1"/>
    <col min="14598" max="14598" width="28.6640625" bestFit="1" customWidth="1"/>
    <col min="14599" max="14599" width="14.88671875" bestFit="1" customWidth="1"/>
    <col min="14600" max="14600" width="15" bestFit="1" customWidth="1"/>
    <col min="14601" max="14601" width="15.33203125" customWidth="1"/>
    <col min="14849" max="14849" width="19.6640625" customWidth="1"/>
    <col min="14850" max="14850" width="38.44140625" customWidth="1"/>
    <col min="14851" max="14851" width="17.6640625" bestFit="1" customWidth="1"/>
    <col min="14852" max="14852" width="16.5546875" bestFit="1" customWidth="1"/>
    <col min="14853" max="14853" width="13.33203125" bestFit="1" customWidth="1"/>
    <col min="14854" max="14854" width="28.6640625" bestFit="1" customWidth="1"/>
    <col min="14855" max="14855" width="14.88671875" bestFit="1" customWidth="1"/>
    <col min="14856" max="14856" width="15" bestFit="1" customWidth="1"/>
    <col min="14857" max="14857" width="15.33203125" customWidth="1"/>
    <col min="15105" max="15105" width="19.6640625" customWidth="1"/>
    <col min="15106" max="15106" width="38.44140625" customWidth="1"/>
    <col min="15107" max="15107" width="17.6640625" bestFit="1" customWidth="1"/>
    <col min="15108" max="15108" width="16.5546875" bestFit="1" customWidth="1"/>
    <col min="15109" max="15109" width="13.33203125" bestFit="1" customWidth="1"/>
    <col min="15110" max="15110" width="28.6640625" bestFit="1" customWidth="1"/>
    <col min="15111" max="15111" width="14.88671875" bestFit="1" customWidth="1"/>
    <col min="15112" max="15112" width="15" bestFit="1" customWidth="1"/>
    <col min="15113" max="15113" width="15.33203125" customWidth="1"/>
    <col min="15361" max="15361" width="19.6640625" customWidth="1"/>
    <col min="15362" max="15362" width="38.44140625" customWidth="1"/>
    <col min="15363" max="15363" width="17.6640625" bestFit="1" customWidth="1"/>
    <col min="15364" max="15364" width="16.5546875" bestFit="1" customWidth="1"/>
    <col min="15365" max="15365" width="13.33203125" bestFit="1" customWidth="1"/>
    <col min="15366" max="15366" width="28.6640625" bestFit="1" customWidth="1"/>
    <col min="15367" max="15367" width="14.88671875" bestFit="1" customWidth="1"/>
    <col min="15368" max="15368" width="15" bestFit="1" customWidth="1"/>
    <col min="15369" max="15369" width="15.33203125" customWidth="1"/>
    <col min="15617" max="15617" width="19.6640625" customWidth="1"/>
    <col min="15618" max="15618" width="38.44140625" customWidth="1"/>
    <col min="15619" max="15619" width="17.6640625" bestFit="1" customWidth="1"/>
    <col min="15620" max="15620" width="16.5546875" bestFit="1" customWidth="1"/>
    <col min="15621" max="15621" width="13.33203125" bestFit="1" customWidth="1"/>
    <col min="15622" max="15622" width="28.6640625" bestFit="1" customWidth="1"/>
    <col min="15623" max="15623" width="14.88671875" bestFit="1" customWidth="1"/>
    <col min="15624" max="15624" width="15" bestFit="1" customWidth="1"/>
    <col min="15625" max="15625" width="15.33203125" customWidth="1"/>
    <col min="15873" max="15873" width="19.6640625" customWidth="1"/>
    <col min="15874" max="15874" width="38.44140625" customWidth="1"/>
    <col min="15875" max="15875" width="17.6640625" bestFit="1" customWidth="1"/>
    <col min="15876" max="15876" width="16.5546875" bestFit="1" customWidth="1"/>
    <col min="15877" max="15877" width="13.33203125" bestFit="1" customWidth="1"/>
    <col min="15878" max="15878" width="28.6640625" bestFit="1" customWidth="1"/>
    <col min="15879" max="15879" width="14.88671875" bestFit="1" customWidth="1"/>
    <col min="15880" max="15880" width="15" bestFit="1" customWidth="1"/>
    <col min="15881" max="15881" width="15.33203125" customWidth="1"/>
    <col min="16129" max="16129" width="19.6640625" customWidth="1"/>
    <col min="16130" max="16130" width="38.44140625" customWidth="1"/>
    <col min="16131" max="16131" width="17.6640625" bestFit="1" customWidth="1"/>
    <col min="16132" max="16132" width="16.5546875" bestFit="1" customWidth="1"/>
    <col min="16133" max="16133" width="13.33203125" bestFit="1" customWidth="1"/>
    <col min="16134" max="16134" width="28.6640625" bestFit="1" customWidth="1"/>
    <col min="16135" max="16135" width="14.88671875" bestFit="1" customWidth="1"/>
    <col min="16136" max="16136" width="15" bestFit="1" customWidth="1"/>
    <col min="16137" max="16137" width="15.33203125" customWidth="1"/>
  </cols>
  <sheetData>
    <row r="1" spans="1:11">
      <c r="A1" s="403" t="s">
        <v>393</v>
      </c>
      <c r="B1" s="403"/>
      <c r="C1" s="403"/>
      <c r="D1" s="403"/>
      <c r="E1" s="403"/>
      <c r="F1" s="403"/>
      <c r="G1" s="403"/>
      <c r="H1" s="403"/>
      <c r="I1" s="403"/>
      <c r="J1" s="285"/>
      <c r="K1" s="285"/>
    </row>
    <row r="3" spans="1:11">
      <c r="A3" s="286" t="s">
        <v>394</v>
      </c>
      <c r="B3" s="286" t="s">
        <v>395</v>
      </c>
      <c r="C3" s="286" t="s">
        <v>396</v>
      </c>
      <c r="D3" s="286" t="s">
        <v>397</v>
      </c>
      <c r="E3" s="286" t="s">
        <v>398</v>
      </c>
      <c r="F3" s="286" t="s">
        <v>399</v>
      </c>
      <c r="G3" s="287" t="s">
        <v>400</v>
      </c>
      <c r="H3" s="286" t="s">
        <v>401</v>
      </c>
      <c r="I3" s="286" t="s">
        <v>439</v>
      </c>
      <c r="J3" s="285"/>
      <c r="K3" s="285"/>
    </row>
    <row r="4" spans="1:11">
      <c r="A4" s="404" t="s">
        <v>402</v>
      </c>
      <c r="B4" s="288" t="s">
        <v>403</v>
      </c>
      <c r="C4" s="289" t="s">
        <v>404</v>
      </c>
      <c r="D4" s="289" t="s">
        <v>405</v>
      </c>
      <c r="E4" s="289" t="s">
        <v>406</v>
      </c>
      <c r="F4" s="290" t="s">
        <v>407</v>
      </c>
      <c r="G4" s="291">
        <v>45422</v>
      </c>
      <c r="H4" s="292">
        <v>475</v>
      </c>
      <c r="I4" s="407">
        <v>321</v>
      </c>
      <c r="J4" s="285"/>
      <c r="K4" s="285"/>
    </row>
    <row r="5" spans="1:11">
      <c r="A5" s="405"/>
      <c r="B5" s="288" t="s">
        <v>408</v>
      </c>
      <c r="C5" s="289" t="s">
        <v>409</v>
      </c>
      <c r="D5" s="289" t="s">
        <v>410</v>
      </c>
      <c r="E5" s="289" t="s">
        <v>411</v>
      </c>
      <c r="F5" s="293" t="s">
        <v>412</v>
      </c>
      <c r="G5" s="291">
        <v>45422</v>
      </c>
      <c r="H5" s="294">
        <v>545</v>
      </c>
      <c r="I5" s="408"/>
      <c r="J5" s="285"/>
      <c r="K5" s="285"/>
    </row>
    <row r="6" spans="1:11">
      <c r="A6" s="406"/>
      <c r="B6" s="288" t="s">
        <v>413</v>
      </c>
      <c r="C6" s="289" t="s">
        <v>414</v>
      </c>
      <c r="D6" s="289" t="s">
        <v>415</v>
      </c>
      <c r="E6" s="289" t="s">
        <v>416</v>
      </c>
      <c r="F6" s="293" t="s">
        <v>417</v>
      </c>
      <c r="G6" s="291">
        <v>45422</v>
      </c>
      <c r="H6" s="292">
        <v>321</v>
      </c>
      <c r="I6" s="409"/>
      <c r="J6" s="285"/>
      <c r="K6" s="285"/>
    </row>
    <row r="7" spans="1:11">
      <c r="A7" s="285"/>
      <c r="B7" s="285"/>
      <c r="C7" s="285"/>
      <c r="D7" s="285"/>
      <c r="E7" s="285"/>
      <c r="F7" s="295"/>
      <c r="G7" s="285"/>
      <c r="H7" s="285"/>
      <c r="I7" s="285"/>
      <c r="J7" s="285"/>
      <c r="K7" s="285"/>
    </row>
    <row r="9" spans="1:11" ht="15.6">
      <c r="A9" s="285"/>
      <c r="B9" s="285" t="s">
        <v>418</v>
      </c>
      <c r="C9" s="285"/>
      <c r="D9" s="285"/>
      <c r="E9" s="285"/>
      <c r="F9" s="285"/>
      <c r="G9" s="285"/>
      <c r="H9" s="296"/>
      <c r="I9" s="297"/>
      <c r="J9" s="285"/>
      <c r="K9" s="285"/>
    </row>
    <row r="10" spans="1:11" ht="15.6">
      <c r="A10" s="285"/>
      <c r="B10" s="285" t="s">
        <v>419</v>
      </c>
      <c r="C10" s="285"/>
      <c r="D10" s="285"/>
      <c r="E10" s="285"/>
      <c r="F10" s="285"/>
      <c r="G10" s="285"/>
      <c r="H10" s="298"/>
      <c r="I10" s="298"/>
      <c r="J10" s="285"/>
      <c r="K10" s="285"/>
    </row>
    <row r="11" spans="1:11" ht="15.6">
      <c r="A11" s="285"/>
      <c r="B11" s="285"/>
      <c r="C11" s="285"/>
      <c r="D11" s="285"/>
      <c r="E11" s="285"/>
      <c r="F11" s="285"/>
      <c r="G11" s="285"/>
      <c r="H11" s="298"/>
      <c r="I11" s="298"/>
      <c r="J11" s="285"/>
      <c r="K11" s="285"/>
    </row>
    <row r="13" spans="1:11">
      <c r="A13" s="285"/>
      <c r="B13" s="285"/>
      <c r="C13" s="285"/>
      <c r="D13" s="285"/>
      <c r="E13" s="285"/>
      <c r="F13" s="285"/>
      <c r="G13" s="299"/>
      <c r="H13" s="285"/>
      <c r="I13" s="285"/>
      <c r="J13" s="285"/>
      <c r="K13" s="285"/>
    </row>
    <row r="14" spans="1:11">
      <c r="G14" s="309" t="s">
        <v>438</v>
      </c>
    </row>
  </sheetData>
  <mergeCells count="3">
    <mergeCell ref="A1:I1"/>
    <mergeCell ref="A4:A6"/>
    <mergeCell ref="I4:I6"/>
  </mergeCells>
  <hyperlinks>
    <hyperlink ref="F4" r:id="rId1" xr:uid="{B97D4F62-C42B-4073-B59E-6C0CC8E22E07}"/>
    <hyperlink ref="F5" r:id="rId2" display="comercial3@medluz.com.br" xr:uid="{F81E0347-51BB-49DB-90D7-7F1820EF23D3}"/>
    <hyperlink ref="F6" r:id="rId3" xr:uid="{0F3D890B-8207-4221-B1E8-A340F8551184}"/>
  </hyperlinks>
  <pageMargins left="0.511811024" right="0.511811024" top="0.78740157499999996" bottom="0.78740157499999996" header="0.31496062000000002" footer="0.31496062000000002"/>
  <pageSetup paperSize="9" scale="51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5</vt:i4>
      </vt:variant>
    </vt:vector>
  </HeadingPairs>
  <TitlesOfParts>
    <vt:vector size="11" baseType="lpstr">
      <vt:lpstr>ORÇ BASE</vt:lpstr>
      <vt:lpstr>MC ORÇ BASE</vt:lpstr>
      <vt:lpstr>COMPOSIÇÕES</vt:lpstr>
      <vt:lpstr>CRONOGRAMA</vt:lpstr>
      <vt:lpstr>BDI</vt:lpstr>
      <vt:lpstr>COTAÇÕES</vt:lpstr>
      <vt:lpstr>BDI!Area_de_impressao</vt:lpstr>
      <vt:lpstr>COMPOSIÇÕES!Area_de_impressao</vt:lpstr>
      <vt:lpstr>CRONOGRAMA!Area_de_impressao</vt:lpstr>
      <vt:lpstr>'MC ORÇ BASE'!Area_de_impressao</vt:lpstr>
      <vt:lpstr>'ORÇ BASE'!Area_de_impressao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Heverto Dias</dc:creator>
  <cp:lastModifiedBy>Heverto Dias</cp:lastModifiedBy>
  <cp:lastPrinted>2024-06-03T14:22:04Z</cp:lastPrinted>
  <dcterms:created xsi:type="dcterms:W3CDTF">2024-05-28T13:18:14Z</dcterms:created>
  <dcterms:modified xsi:type="dcterms:W3CDTF">2024-06-03T14:26:09Z</dcterms:modified>
</cp:coreProperties>
</file>