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70" tabRatio="876" activeTab="0"/>
  </bookViews>
  <sheets>
    <sheet name="ORÇAMENTO BASE" sheetId="1" r:id="rId1"/>
    <sheet name="MEMORIA DO ORÇAMENTO BASE" sheetId="2" r:id="rId2"/>
    <sheet name="COMPOSIÇÕES" sheetId="3" r:id="rId3"/>
    <sheet name="Cronograma Geral" sheetId="4" r:id="rId4"/>
    <sheet name="COMP BDI" sheetId="5" r:id="rId5"/>
    <sheet name="COTAÇÕES" sheetId="6" r:id="rId6"/>
  </sheets>
  <externalReferences>
    <externalReference r:id="rId9"/>
  </externalReferences>
  <definedNames>
    <definedName name="_xlfn.SINGLE" hidden="1">#NAME?</definedName>
    <definedName name="_xlnm.Print_Area">'Cronograma Geral'!$A$1:$J$40</definedName>
    <definedName name="_xlnm.Print_Area_1">#REF!</definedName>
    <definedName name="_xlnm.Print_Area" localSheetId="4">'COMP BDI'!$A$1:$C$39</definedName>
    <definedName name="_xlnm.Print_Area" localSheetId="2">'COMPOSIÇÕES'!$A$1:$H$134</definedName>
    <definedName name="_xlnm.Print_Area" localSheetId="3">'Cronograma Geral'!$A$1:$J$18</definedName>
    <definedName name="_xlnm.Print_Area" localSheetId="1">'MEMORIA DO ORÇAMENTO BASE'!$A$1:$H$476</definedName>
    <definedName name="_xlnm.Print_Area" localSheetId="0">'ORÇAMENTO BASE'!$A$1:$G$149</definedName>
    <definedName name="BDI" localSheetId="4">#REF!</definedName>
    <definedName name="BDI">#REF!</definedName>
    <definedName name="cte">#REF!</definedName>
    <definedName name="MEMO_CALC" localSheetId="4">#REF!</definedName>
    <definedName name="MEMO_CALC">#REF!</definedName>
    <definedName name="ORC">#REF!</definedName>
    <definedName name="ORCAMENTO">#REF!</definedName>
    <definedName name="_xlnm.Print_Titles" localSheetId="2">'COMPOSIÇÕES'!$4:$4</definedName>
    <definedName name="_xlnm.Print_Titles" localSheetId="1">'MEMORIA DO ORÇAMENTO BASE'!$8:$8</definedName>
    <definedName name="_xlnm.Print_Titles" localSheetId="0">'ORÇAMENTO BASE'!$8:$8</definedName>
  </definedNames>
  <calcPr fullCalcOnLoad="1"/>
</workbook>
</file>

<file path=xl/sharedStrings.xml><?xml version="1.0" encoding="utf-8"?>
<sst xmlns="http://schemas.openxmlformats.org/spreadsheetml/2006/main" count="1502" uniqueCount="537">
  <si>
    <t>ITEM</t>
  </si>
  <si>
    <t>CRONOGRAMA FÍSICO FINANCEIRO</t>
  </si>
  <si>
    <t>DISCRIMINAÇÃO</t>
  </si>
  <si>
    <t>TOTAL</t>
  </si>
  <si>
    <t>Item</t>
  </si>
  <si>
    <t>COMPRIMENTO</t>
  </si>
  <si>
    <t>ALTURA</t>
  </si>
  <si>
    <t>LARGURA</t>
  </si>
  <si>
    <t>REPETIÇÕES</t>
  </si>
  <si>
    <t>1.0</t>
  </si>
  <si>
    <t>2.0</t>
  </si>
  <si>
    <t>DISCRIMINAÇÃO DOS SERVIÇOS</t>
  </si>
  <si>
    <t>PREÇO UNITÁRIO COM BDI</t>
  </si>
  <si>
    <t xml:space="preserve">PREÇO UNITÁRIO </t>
  </si>
  <si>
    <t xml:space="preserve">PREÇO TOTAL </t>
  </si>
  <si>
    <t>UNIDADE</t>
  </si>
  <si>
    <t xml:space="preserve">ORÇAMENTO BASE                               </t>
  </si>
  <si>
    <t>QUANTIDADE</t>
  </si>
  <si>
    <t>30 DIAS</t>
  </si>
  <si>
    <t>60 DIAS</t>
  </si>
  <si>
    <t>90 DIAS</t>
  </si>
  <si>
    <t>120 DIAS</t>
  </si>
  <si>
    <t>SERVIÇOS PRELIMINARES</t>
  </si>
  <si>
    <t>1.1</t>
  </si>
  <si>
    <t>2.1</t>
  </si>
  <si>
    <t>3.0</t>
  </si>
  <si>
    <t>3.1</t>
  </si>
  <si>
    <t>4.0</t>
  </si>
  <si>
    <t>4.1</t>
  </si>
  <si>
    <t>M2</t>
  </si>
  <si>
    <t>M3</t>
  </si>
  <si>
    <t>PREÇO TOTAL COM BDI</t>
  </si>
  <si>
    <t>SINAPI</t>
  </si>
  <si>
    <t>H</t>
  </si>
  <si>
    <t>4.2</t>
  </si>
  <si>
    <t>UND</t>
  </si>
  <si>
    <t>Instruções para Preenchimento( NÃO IMPRIMIR ESTA PARTE):</t>
  </si>
  <si>
    <t xml:space="preserve">COMPOSIÇÃO DE BDI </t>
  </si>
  <si>
    <t>Preencher os campos em amarelo</t>
  </si>
  <si>
    <t>COD</t>
  </si>
  <si>
    <t>DESCRIÇÃO</t>
  </si>
  <si>
    <t>%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</si>
  <si>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</si>
  <si>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</si>
  <si>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</si>
  <si>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</si>
  <si>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</si>
  <si>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</si>
  <si>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</si>
  <si>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</si>
  <si>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</si>
  <si>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</si>
  <si>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</si>
  <si>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</si>
  <si>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</si>
  <si>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</si>
  <si>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</si>
  <si>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</si>
  <si>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</si>
  <si>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</si>
  <si>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</si>
  <si>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</si>
  <si>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</si>
  <si>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</si>
  <si>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</si>
  <si>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</si>
  <si>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</si>
  <si>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</si>
  <si>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</si>
  <si>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</si>
  <si>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</si>
  <si>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</si>
  <si>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</si>
  <si>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</si>
  <si>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</si>
  <si>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</si>
  <si>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</si>
  <si>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</si>
  <si>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</si>
  <si>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</si>
  <si>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</si>
  <si>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</si>
  <si>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</si>
  <si>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</si>
  <si>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</si>
  <si>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TABELA</t>
  </si>
  <si>
    <t xml:space="preserve">CÓDIGO </t>
  </si>
  <si>
    <t>COMPOSIÇÕES DE CUSTOS</t>
  </si>
  <si>
    <t>CLASS</t>
  </si>
  <si>
    <t>UNID.</t>
  </si>
  <si>
    <t>COEF.</t>
  </si>
  <si>
    <t>PREÇO(R$)</t>
  </si>
  <si>
    <t>PREÇO TOTAL (R$)</t>
  </si>
  <si>
    <t>CÓDIGO</t>
  </si>
  <si>
    <t>M.O.</t>
  </si>
  <si>
    <t>88316</t>
  </si>
  <si>
    <t>SERVENTE COM ENCARGOS COMPLEMENTARES</t>
  </si>
  <si>
    <t>PREÇO (mão-de-obra):</t>
  </si>
  <si>
    <t>PREÇO (material):</t>
  </si>
  <si>
    <t>PREÇO (equipamento):</t>
  </si>
  <si>
    <t>PREÇO TOTAL (unit.):</t>
  </si>
  <si>
    <t>3.2</t>
  </si>
  <si>
    <t>MAT.</t>
  </si>
  <si>
    <t>M</t>
  </si>
  <si>
    <t>CHAPISCO APLICADO EM ALVENARIAS E ESTRUTURAS DE CONCRETO INTERNAS, COM COLHER DE PEDREIRO. ARGAMASSA TRAÇO 1:3 COM PREPARO EM BETONEIRA 400L. AF_06/2014</t>
  </si>
  <si>
    <t>TOTAL GERAL</t>
  </si>
  <si>
    <t>KG</t>
  </si>
  <si>
    <t>PLACA DE OBRA EM CHAPA AÇO GALVANIZADO, INSTALADA</t>
  </si>
  <si>
    <t>INSUMO</t>
  </si>
  <si>
    <t>COMPOSICAO</t>
  </si>
  <si>
    <t>CARPINTEIRO DE FORMAS COM ENCARGOS COMPLEMENTARES</t>
  </si>
  <si>
    <t>3.3</t>
  </si>
  <si>
    <t>TABELAS REFERÊNCIA:</t>
  </si>
  <si>
    <t>BDI</t>
  </si>
  <si>
    <t>DIMENSÕES</t>
  </si>
  <si>
    <t>4.3</t>
  </si>
  <si>
    <t xml:space="preserve">TABELA </t>
  </si>
  <si>
    <t>COEFICIENTES OBTIDOS NA TABELA:</t>
  </si>
  <si>
    <t>INSUMOS E COMPOSIÇÕES ADAPTADOS DA TABELA:</t>
  </si>
  <si>
    <t xml:space="preserve">CPRB ( 4,5%, Apenas quando tiver desoneração INSS) </t>
  </si>
  <si>
    <t>TOTAL 2.0</t>
  </si>
  <si>
    <t>TOTAL 1.0</t>
  </si>
  <si>
    <t>ESCAVAÇÃO MANUAL DE VALA COM PROFUNDIDADE MENOR OU IGUAL A 1,30 M. AF_03/2016</t>
  </si>
  <si>
    <t>TOTAL 4.0</t>
  </si>
  <si>
    <t>PARA ELABORAÇÃO DESTE ORÇAMENTO, FORAM UTILIZADOS OS ENCARGOS SOCIAIS DO SINAPI PERNAMBUCO</t>
  </si>
  <si>
    <t>MEMÓRIA DE CÁLCULO DO ORÇAMENTO BASE</t>
  </si>
  <si>
    <t>LASTRO DE CONCRETO MAGRO, APLICADO EM PISOS, LAJES SOBRE SOLO OU RADIERS, ESPESSURA DE 5 CM. AF_07/2016</t>
  </si>
  <si>
    <t>ALVENARIA DE VEDAÇÃO DE BLOCOS CERÂMICOS FURADOS NA HORIZONTAL DE 9X19X19 CM (ESPESSURA 9 CM) E ARGAMASSA DE ASSENTAMENTO COM PREPARO EM BETONEIRA. AF_12/2021</t>
  </si>
  <si>
    <t>CÓDIGO/FONTE</t>
  </si>
  <si>
    <t>93358-SINAPI</t>
  </si>
  <si>
    <t>95241-SINAPI</t>
  </si>
  <si>
    <t>103328-SINAPI</t>
  </si>
  <si>
    <t>87879-SINAPI</t>
  </si>
  <si>
    <t>FABRICAÇÃO, MONTAGEM E DESMONTAGEM DE FÔRMA PARA SAPATA, EM CHAPA DE MADEIRA COMPENSADA RESINADA, E=17 MM, 4 UTILIZAÇÕES. AF_06/2017</t>
  </si>
  <si>
    <t>MONTAGEM E DESMONTAGEM DE FÔRMA DE PILARES RETANGULARES E ESTRUTURAS SIMILARES, PÉ-DIREITO SIMPLES, EM CHAPA DE MADEIRA COMPENSADA RESINADA, 6 UTILIZAÇÕES. AF_09/2020</t>
  </si>
  <si>
    <t>CONCRETO FCK = 30MPA, TRAÇO 1:2,1:2,5 (EM MASSA SECA DE CIMENTO/ AREIA MÉDIA/ BRITA 1) - PREPARO MECÂNICO COM BETONEIRA 600 L. AF_05/2021</t>
  </si>
  <si>
    <t>LANÇAMENTO COM USO DE BOMBA, ADENSAMENTO E ACABAMENTO DE CONCRETO EM ESTRUTURAS. AF_02/2022</t>
  </si>
  <si>
    <t>ARMAÇÃO DE PILAR OU VIGA DE ESTRUTURA CONVENCIONAL DE CONCRETO ARMADO UTILIZANDO AÇO CA-50 DE 10,0 MM - MONTAGEM. AF_06/2022</t>
  </si>
  <si>
    <t>96541-SINAPI</t>
  </si>
  <si>
    <t>92423-SINAPI</t>
  </si>
  <si>
    <t>94972-SINAPI</t>
  </si>
  <si>
    <t>103673-SINAPI</t>
  </si>
  <si>
    <t>92762-SINAPI</t>
  </si>
  <si>
    <t>REATERRO MANUAL APILOADO COM SOQUETE. AF_10/2017</t>
  </si>
  <si>
    <t>ARMAÇÃO GERAL - PESO CONFORME PROJETO ESTRUTURAL AUTOCAD</t>
  </si>
  <si>
    <t>DESCRIÇÃO DOS SERVIÇOS</t>
  </si>
  <si>
    <t>LASTROS</t>
  </si>
  <si>
    <t>PINTURA VERNIZ (INCOLOR) ALQUÍDICO EM MADEIRA, USO INTERNO E EXTERNO, 2 DEMÃOS. AF_01/2021</t>
  </si>
  <si>
    <t>102213-SINAPI</t>
  </si>
  <si>
    <t>REVESTIMENTOS E PINTURAS</t>
  </si>
  <si>
    <t>MAPA DE COTAÇÕES DOS PRODUTOS</t>
  </si>
  <si>
    <t>OBJETO DA COTAÇÃO</t>
  </si>
  <si>
    <t>Nome da Empresa</t>
  </si>
  <si>
    <t>CNPJ</t>
  </si>
  <si>
    <t>telefone</t>
  </si>
  <si>
    <t>e-mail</t>
  </si>
  <si>
    <t>Data da Cotação</t>
  </si>
  <si>
    <t>valor da cotação</t>
  </si>
  <si>
    <t>Mediana</t>
  </si>
  <si>
    <t>Nome do Contato</t>
  </si>
  <si>
    <t>COMPOSIÇÃO 03</t>
  </si>
  <si>
    <t>COTAÇÃO</t>
  </si>
  <si>
    <t>COTAÇÃO DE MERCADO</t>
  </si>
  <si>
    <t>PEDREIRO COM ENCARGOS COMPLEMENTARES</t>
  </si>
  <si>
    <t>567</t>
  </si>
  <si>
    <t>CANTONEIRA FERRO GALVANIZADO DE ABAS IGUAIS, 1" X 1/8" (L X E) , 1,20KG/M</t>
  </si>
  <si>
    <t>88315</t>
  </si>
  <si>
    <t>SERRALHEIRO COM ENCARGOS COMPLEMENTARES</t>
  </si>
  <si>
    <t>88631</t>
  </si>
  <si>
    <t>ARGAMASSA TRAÇO 1:4 (CIMENTO E AREIA MÉDIA), PREPARO MANUAL. AF_08/2014</t>
  </si>
  <si>
    <t>COMPOSIÇÃO 02</t>
  </si>
  <si>
    <t>COMPOSIÇÃO 04</t>
  </si>
  <si>
    <t>COMPOSIÇÃO 05</t>
  </si>
  <si>
    <t>GRADIL / GUARDA-CORPO EM PERFIL TUBULAR 80X80MM EM FORMATO VERTICAL</t>
  </si>
  <si>
    <t>TUBO DE AÇO, QUADRADO, METALON 80X80MM, E=2,00MM (CHAPA 14)</t>
  </si>
  <si>
    <t>COMPOSIÇÃO EXTRAÍDA E ADAPTADA DO ITEM 73932/1 DA TABELA SINAPI JAN/2019 - GRADE DE FERRO EM BARRA CHATA 3/16"</t>
  </si>
  <si>
    <t>3.3.2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</si>
  <si>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</si>
  <si>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</si>
  <si>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</si>
  <si>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</si>
  <si>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</si>
  <si>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</si>
  <si>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</si>
  <si>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</si>
  <si>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</si>
  <si>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4.2.1</t>
  </si>
  <si>
    <t>4.2.2</t>
  </si>
  <si>
    <t>4.2.3</t>
  </si>
  <si>
    <t>4.2.4</t>
  </si>
  <si>
    <t>4.2.5</t>
  </si>
  <si>
    <t>4.3.1</t>
  </si>
  <si>
    <t>4.3.2</t>
  </si>
  <si>
    <t>4.3.3</t>
  </si>
  <si>
    <t>4.3.4</t>
  </si>
  <si>
    <t>4.3.5</t>
  </si>
  <si>
    <t>SUB TOTAL 4.1</t>
  </si>
  <si>
    <t>SUB TOTAL 4.2</t>
  </si>
  <si>
    <t>SUB TOTAL 4.3</t>
  </si>
  <si>
    <t>88489-SINAPI</t>
  </si>
  <si>
    <t>150 DIAS</t>
  </si>
  <si>
    <t>180 DIAS</t>
  </si>
  <si>
    <t>VALOR TOTAL</t>
  </si>
  <si>
    <t>MÊS 01</t>
  </si>
  <si>
    <t>MÊS 02</t>
  </si>
  <si>
    <t>MÊS 03</t>
  </si>
  <si>
    <t>MÊS 04</t>
  </si>
  <si>
    <t>MÊS 05</t>
  </si>
  <si>
    <t>MÊS 06</t>
  </si>
  <si>
    <t>VALOR SIMPLES (R$)</t>
  </si>
  <si>
    <t>PERCENTUAL SIMPLES (%)</t>
  </si>
  <si>
    <t>VALOR ACUMULADO (R$)</t>
  </si>
  <si>
    <t>PERCENTUAL ACUMULADO (%)</t>
  </si>
  <si>
    <t>EXECUÇÃO DE PASSEIO EM PISO INTERTRAVADO, COM BLOCO RETANGULAR COR NATURAL DE 20 X 10 CM, ESPESSURA 6 CM. AF_10/2022</t>
  </si>
  <si>
    <t>92396-SINAPI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</si>
  <si>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</si>
  <si>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</si>
  <si>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</si>
  <si>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</si>
  <si>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</si>
  <si>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</si>
  <si>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</si>
  <si>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</si>
  <si>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</si>
  <si>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</si>
  <si>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2.2.1</t>
  </si>
  <si>
    <t>2.2.2</t>
  </si>
  <si>
    <t>2.2.3</t>
  </si>
  <si>
    <t>2.2.4</t>
  </si>
  <si>
    <t>2.2.5</t>
  </si>
  <si>
    <t>2.3</t>
  </si>
  <si>
    <t>2.3.1</t>
  </si>
  <si>
    <t>SUB TOTAL 2.2</t>
  </si>
  <si>
    <t>SUB TOTAL 2.1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</si>
  <si>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</si>
  <si>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</si>
  <si>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</si>
  <si>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</si>
  <si>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</si>
  <si>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</si>
  <si>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</si>
  <si>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</si>
  <si>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</si>
  <si>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SUB TOTAL 2.3</t>
  </si>
  <si>
    <t>MASSA ÚNICA, PARA RECEBIMENTO DE PINTURA, EM ARGAMASSA TRAÇO 1:2:8, PREPARO MECÂNICO COM BETONEIRA 400L, APLICADA MANUALMENTE EM FACES INTERNAS DE PAREDES, ESPESSURA DE 20MM, COM EXECUÇÃO DE TALISCAS. AF_06/2014</t>
  </si>
  <si>
    <t>87529-SINAPI</t>
  </si>
  <si>
    <t>APLICAÇÃO MANUAL DE MASSA ACRÍLICA EM PAREDES EXTERNAS DE CASAS, UMA DEMÃO. AF_05/2017</t>
  </si>
  <si>
    <t>96130-SINAPI</t>
  </si>
  <si>
    <t>APLICAÇÃO MANUAL DE PINTURA COM TINTA TEXTURIZADA ACRÍLICA EM PAREDES EXTERNAS DE CASAS, UMA COR. AF_06/2014</t>
  </si>
  <si>
    <t>88423-SINAPI</t>
  </si>
  <si>
    <t>ESCAVAÇÃO MANUAL DE VALA COM PROFUNDIDADE MENOR OU IGUAL A 1,30 M. AF_02/2021</t>
  </si>
  <si>
    <t>CONCRETO ARMADO FCK=20MPA FABRICADO NA OBRA, ADENSADO E LANÇADO, PARA USO GERAL, COM FORMAS PLANAS EM COMPENSADO RESINADO 10MM (05 USOS)</t>
  </si>
  <si>
    <t>2.3.11</t>
  </si>
  <si>
    <t>2.3.12</t>
  </si>
  <si>
    <t>2.3.13</t>
  </si>
  <si>
    <t>UNIDADES</t>
  </si>
  <si>
    <t xml:space="preserve">POSTE CONICO CONTINUO EM ACO GALVANIZADO, CURVO, BRACO DUPLO, FLANGEADO,  H = 9 M, DIAMETRO INFERIOR = *135*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</si>
  <si>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14163-INSUMOS SINAPI</t>
  </si>
  <si>
    <t>BASES POSTES</t>
  </si>
  <si>
    <t>SUB COMPOSIÇÃO 01</t>
  </si>
  <si>
    <t>FORMA PLANA PARA ESTRUTURAS, EM COMPENSADO RESINADO DE 10MM, 05 USOS, INCLUSIVE ESCORAMENTO - REVISADA 07.2015</t>
  </si>
  <si>
    <t>CONCRETO FCK = 20MPA, TRAÇO 1:2,7:3 (EM MASSA SECA DE CIMENTO/ AREIA MÉDIA/ BRITA 1) - PREPARO MECÂNICO COM BETONEIRA 400 L. AF_05/2021</t>
  </si>
  <si>
    <t>LANÇAMENTO COM USO DE BALDES, ADENSAMENTO E ACABAMENTO DE CONCRETO EM ESTRUTURAS. AF_12/2015</t>
  </si>
  <si>
    <t>SUB COMPOSIÇÃO 02</t>
  </si>
  <si>
    <t>ARMACAO ACO CA-50 P/1,0M3 DE CONCRETO</t>
  </si>
  <si>
    <t>UN</t>
  </si>
  <si>
    <t>CÓDIGO: 06457 - TABELA: ORSE - SET/2019 - Concreto armado fck=15MPa fabricado na obra, adensado e lançado, para Uso Geral, com formas planas em compensado resinado 12mm (05 usos)</t>
  </si>
  <si>
    <t>FORMA PLANA PARA ESTRUTURAS, EM COMPENSADO RESINADO DE 10MM, 05 USOS, INCLUSIVE ESCORAMENTO - REVISADA 07..2015</t>
  </si>
  <si>
    <t xml:space="preserve">SINAPI
</t>
  </si>
  <si>
    <t>00006193</t>
  </si>
  <si>
    <t xml:space="preserve">SINAPI INSUMO </t>
  </si>
  <si>
    <t xml:space="preserve">TABUA  NAO  APARELHADA  *2,5 X 20* CM, EM MACARANDUBA, ANGELIM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</si>
  <si>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00005069</t>
  </si>
  <si>
    <t>PREGO DE ACO POLIDO COM CABECA 17 X 27 (2 1/2 X 11)</t>
  </si>
  <si>
    <t>00005068</t>
  </si>
  <si>
    <t>PREGO DE ACO POLIDO COM CABECA 17 X 21 (2 X 11)</t>
  </si>
  <si>
    <t>00002692</t>
  </si>
  <si>
    <t>DESMOLDANTE PROTETOR PARA FORMAS DE MADEIRA, DE BASE OLEOSA EMULSIONADA EM AGUA</t>
  </si>
  <si>
    <t xml:space="preserve">00004509 </t>
  </si>
  <si>
    <t>TABUA DE MADEIRA NAO APARELHADA *2,5 X 10 CM (1 X 4 ") PINUS, MISTA OU EQUIVALENTE DA REGIAO</t>
  </si>
  <si>
    <t xml:space="preserve">00001347 </t>
  </si>
  <si>
    <t xml:space="preserve">CHAPA/PAINEL DE MADEIRA COMPENSADA PLASTIFICADA (MADEIRITE PLASTIFICADO) PARA FORMA DE CONCRETO, DE 2200 x 1100 MM, E = 12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</si>
  <si>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00043130</t>
  </si>
  <si>
    <t>ARAME GALVANIZADO 12 BWG, D = 2,76 MM (0,048 KG/M) OU 14 BWG, D = 2,11 MM (0,026 KG/M)</t>
  </si>
  <si>
    <t xml:space="preserve">00004006 </t>
  </si>
  <si>
    <t>MADEIRA SERRADA NAO APARELHADA DE PINUS, MISTA OU EQUIVALENTE DA REGIAO</t>
  </si>
  <si>
    <t>CÓDIGO: 00116 -  TABELA: SINAPI - SET/2019 - Forma Plana para estruturas, em compensado resinado de 12mm, 05 usos, inclusive escoramento - Revisada 07..2015</t>
  </si>
  <si>
    <t>92917</t>
  </si>
  <si>
    <t>ARMAÇÃO DE ESTRUTURAS DIVERSAS DE CONCRETO ARMADO, EXCETO VIGAS, PILARES, LAJES E FUNDAÇÕES, UTILIZANDO AÇO CA-50 DE 8,0 MM - MONTAGEM. AF_06/2022</t>
  </si>
  <si>
    <t>92922</t>
  </si>
  <si>
    <t>ARMAÇÃO DE ESTRUTURAS DIVERSAS DE CONCRETO ARMADO, EXCETO VIGAS, PILARES, LAJES E FUNDAÇÕES, UTILIZANDO AÇO CA-50 DE 16,0 MM - MONTAGEM. AF_06/2022</t>
  </si>
  <si>
    <t>CÓDIGO: 73990/1 - SINAPI SET/2019 - ARMACAO ACO CA-50 P/1,0M3 DE CONCRETO</t>
  </si>
  <si>
    <t>2.3.14</t>
  </si>
  <si>
    <t>CONSTRUÇÃO PONTO DE ESPERA</t>
  </si>
  <si>
    <t xml:space="preserve">SERVIÇOS PRELIMINARES </t>
  </si>
  <si>
    <t>3.1.1</t>
  </si>
  <si>
    <t>3.1.2</t>
  </si>
  <si>
    <t>SUB TOTAL 3.1</t>
  </si>
  <si>
    <t>ESTRUTURAS E REVESTIMENTOS</t>
  </si>
  <si>
    <t>3.2.1</t>
  </si>
  <si>
    <t>3.2.2</t>
  </si>
  <si>
    <t>3.2.3</t>
  </si>
  <si>
    <t>103326-SINAPI</t>
  </si>
  <si>
    <t>ALVENARIA DE VEDAÇÃO DE BLOCOS CERÂMICOS FURADOS NA VERTICAL DE 19X19X39 CM (ESPESSURA 19 CM) E ARGAMASSA DE ASSENTAMENTO COM PREPARO EM BETONEIRA. AF_12/2021</t>
  </si>
  <si>
    <t>3.2.4</t>
  </si>
  <si>
    <t>3.2.5</t>
  </si>
  <si>
    <t>3.2.6</t>
  </si>
  <si>
    <t>MASSA ÚNICA, PARA RECEBIMENTO DE PINTURA, EM ARGAMASSA TRAÇO 1:2:8, PREPARO MECÂNICO COM BETONEIRA 400L, APLICADA MANUALMENTE EM FACES INTERNAS DE PAREDES, ESPESSURA DE 20MM, COM EXECUÇÃO DE TALISCAS. AF_06/2014.</t>
  </si>
  <si>
    <t>3.2.7</t>
  </si>
  <si>
    <t>3.2.8</t>
  </si>
  <si>
    <t>102193-SINAPI</t>
  </si>
  <si>
    <t>LIXAMENTO DE MADEIRA PARA APLICAÇÃO DE FUNDO OU PINTURA. AF_01/2021</t>
  </si>
  <si>
    <t>SUB TOTAL 3.2</t>
  </si>
  <si>
    <t>COBERTURA</t>
  </si>
  <si>
    <t>3.3.1</t>
  </si>
  <si>
    <t>SUB TOTAL 3.3</t>
  </si>
  <si>
    <t>3.4</t>
  </si>
  <si>
    <t>PINTURAS E ACABAMENTOS</t>
  </si>
  <si>
    <t>3.4.1</t>
  </si>
  <si>
    <t>APLICAÇÃO MANUAL DE PINTURA COM TINTA LÁTEX ACRÍLICA EM PAREDES, DUAS DEMÃOS. AF_06/2014</t>
  </si>
  <si>
    <t>3.4.2</t>
  </si>
  <si>
    <t>SUB TOTAL 3.4</t>
  </si>
  <si>
    <t>TOTAL 3.0</t>
  </si>
  <si>
    <t>BASES</t>
  </si>
  <si>
    <t>VOLUME ESCAVAÇÕES</t>
  </si>
  <si>
    <t>CONCRETO BASES</t>
  </si>
  <si>
    <t>BASES BANCOS</t>
  </si>
  <si>
    <t>PILARES</t>
  </si>
  <si>
    <t>ARMAÇÃO DE PILAR OU VIGA DE ESTRUTURA CONVENCIONAL DE CONCRETO ARMADO UTILIZANDO AÇO CA-60 DE 5,0 MM - MONTAGEM. AF_06/2022</t>
  </si>
  <si>
    <t>92759-SINAPI</t>
  </si>
  <si>
    <t>ÁREA TOTAL - CONFORME PROJETO AUTOCAD</t>
  </si>
  <si>
    <t>ILUMINAÇÃO</t>
  </si>
  <si>
    <t>103689- SINAPI</t>
  </si>
  <si>
    <t>FORNECIMENTO E INSTALAÇÃO DE PLACA DE OBRA COM CHAPA GALVANIZADA E ESTRUTURA DE MADEIRA. AF_03/2022_PS</t>
  </si>
  <si>
    <t>REATERRO MANUAL DE VALAS, COM PLACA VIBRATÓRIA. AF_08/2023</t>
  </si>
  <si>
    <t>BDI ADOTADO DE 18,58%</t>
  </si>
  <si>
    <t>FOI ADOTADA NESTA PLANILHA A   NÃO DESONERAÇÃO DA CONTRIBUIÇÃO PREVIDENCIÁRIA , DESTA FORMA SENDO ESCOLHIDA A ALTERNATIVA MAIS ADEQUADA A ADMINISTRAÇÃO PÚBLICA.</t>
  </si>
  <si>
    <t>104737-SINAPI</t>
  </si>
  <si>
    <t>SINAPI  NÃO DESONERADO NA DATA BASE AGOSTO/2023</t>
  </si>
  <si>
    <t>RECURSOS: PRÓPRIOS</t>
  </si>
  <si>
    <t>LOCAIS: TREVO DE ACESSO AO MUNICÍPIO DE TERRA NOVA E TREVO DO DISTRITO DO GUARANI</t>
  </si>
  <si>
    <t>DATA ELABORAÇÃO: NOVEMBRO/2023</t>
  </si>
  <si>
    <t>PREFEITURA MUNICIPAL DE TERRA NOVA</t>
  </si>
  <si>
    <t>DEMOLIÇÃO DE MEIO-FIO GRANÍTICO OU PRÉ-MOLDADO</t>
  </si>
  <si>
    <t>COMPOSIÇÃO 01</t>
  </si>
  <si>
    <t>88309</t>
  </si>
  <si>
    <t>COMPOSIÇÃO EXTRAÍDA DO CÓDIGO 00021/ORSE - DEMOLIÇÃO DE MEIO-FIO GRANÍTICO OU PRÉ-MOLDADO</t>
  </si>
  <si>
    <t>2.3.15</t>
  </si>
  <si>
    <t>2.3.16</t>
  </si>
  <si>
    <t>CARGA, MANOBRA E DESCARGA DE ENTULHO EM CAMINHÃO BASCULANTE 10 M³ - CARGA COM ESCAVADEIRA HIDRÁULICA  (CAÇAMBA DE 0,80 M³ / 111 HP) E DESCARGA LIVRE (UNIDADE: M3). AF_07/2020</t>
  </si>
  <si>
    <t>100982-SINAPI</t>
  </si>
  <si>
    <t>CONSTRUÇÃO DO TOTEM</t>
  </si>
  <si>
    <t>SAPATA TOTEM</t>
  </si>
  <si>
    <t>FACES TOTEM</t>
  </si>
  <si>
    <t>LATERAIS TOTEM</t>
  </si>
  <si>
    <t>TOTEM DE CONCRETO</t>
  </si>
  <si>
    <t>BASE DE CONCRETO</t>
  </si>
  <si>
    <t>ESCAVAÇÕES</t>
  </si>
  <si>
    <t>DESCONTO SAPATA</t>
  </si>
  <si>
    <t>FACE SUPERIOR TOTEM</t>
  </si>
  <si>
    <t>FORNECIMENTO E INSTALAÇÃO DE REVESTIMENTO EM ACM COM LOGOMARCA, CONFORME PROJETOS</t>
  </si>
  <si>
    <t>REMOÇÃO CANTEIRO LATERAL ESQUERDA</t>
  </si>
  <si>
    <t>REMOÇÃO CANTEIRO CENTRO</t>
  </si>
  <si>
    <t>REMOÇÃO CANTEIRO LATERAL DIREITA</t>
  </si>
  <si>
    <t>REMOÇÃO DE MEIO-FIO (M)</t>
  </si>
  <si>
    <t>ASSENTAMENTO DE GUIA (MEIO-FIO) EM TRECHO RETO, CONFECCIONADA EM CONCRETO PRÉ-FABRICADO, DIMENSÕES 100X15X13X20 CM (COMPRIMENTO X BASE INFERIOR X BASE SUPERIOR X ALTURA), PARA URBANIZAÇÃO INTERNA DE EMPREENDIMENTOS. AF_06/2016</t>
  </si>
  <si>
    <t>94275-SINAPI</t>
  </si>
  <si>
    <t>2.3.17</t>
  </si>
  <si>
    <t>EXECUÇÃO DE PASSEIO EM PISO INTERTRAVADO, COM BLOCO RETANGULAR COLORIDO DE 20 X 10 CM, ESPESSURA 6 CM. AF_10/2022</t>
  </si>
  <si>
    <t>93679-SINAPI</t>
  </si>
  <si>
    <t>CINZA ESCURO / ÁREA TOTAL - CONFORME PROJETO AUTOCAD</t>
  </si>
  <si>
    <t>VERMELHO / ÁREA TOTAL - CONFORME PROJETO AUTOCAD</t>
  </si>
  <si>
    <t>CANTEIROS E BANCOS DE CONCRETO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</si>
  <si>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</si>
  <si>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87527-SINAPI</t>
  </si>
  <si>
    <t xml:space="preserve">REVESTIMENTO EM PAREDE OU EM DETALHES, COM CERAMICA ESMALTADA 10X10CM, COLORIDA, TIPO A, ELIANE,PORTO RICO,SAMARSA, ELIZABETH OU SIMILAR, ASSENTADO COM AR GAMASSA PRÉ FABRICADA E REJUNTE DA QUARTZOLIT </t>
  </si>
  <si>
    <t>CERAMICA ESMALTADA 10X10CM,TIPO A, COLORIDA, ELIANE,PORTO RICO,SAMARSA, ELIZABETH OU SIMILAR</t>
  </si>
  <si>
    <t>1,0600000</t>
  </si>
  <si>
    <t>SINAPI
 INSUMO</t>
  </si>
  <si>
    <t>ARGAMASSA COLANTE AC I PARA CERAMICAS</t>
  </si>
  <si>
    <t>4,8600000</t>
  </si>
  <si>
    <t>REJUNTE COLORIDO, CIMENTICIO</t>
  </si>
  <si>
    <t>0,4200000</t>
  </si>
  <si>
    <t>AZULEJISTA OU LADRILHISTA COM ENCARGOS COMPLEMENTARES</t>
  </si>
  <si>
    <t>0,7200000</t>
  </si>
  <si>
    <t>0,3800000</t>
  </si>
  <si>
    <t>CÓDIGO: 87264 - TABELA: SINAPI - SET/2019 - REVESTIMENTO CERÂMICO PARA PAREDES INTERNAS COM PLACAS TIPO ESMALTADA EXTRA DE DIMENSÕES 20X20 CM APLICADAS EM AMBIENTES DE ÁREA MENOR QUE 5 M² NA ALTURA INTEIRA DAS PAREDES. AF_06/2014</t>
  </si>
  <si>
    <t>Nome  do Contato</t>
  </si>
  <si>
    <t>CERAMICA ESMALTADA 10 X 10CM, CORES, TIPO A,</t>
  </si>
  <si>
    <t>FERREIRA COSTA</t>
  </si>
  <si>
    <t>10.230.480/0019-60</t>
  </si>
  <si>
    <t>INTERNET</t>
  </si>
  <si>
    <t>81 - 3338-8388</t>
  </si>
  <si>
    <t>https://www.ferreiracosta.com/Produto/171038/ceramica-br10090-brilhante-tipo-a-10x10cm-144m-amarelo-tecnogres</t>
  </si>
  <si>
    <t>HOME CENTER TUPAN</t>
  </si>
  <si>
    <t>00.279.531/0003-27</t>
  </si>
  <si>
    <t>81 - 3229-5555</t>
  </si>
  <si>
    <t>https://www.tupan.com.br/revestimento-10x10-amarelo-brilhante-tipo-a--refbr10090--tecnogres-83850</t>
  </si>
  <si>
    <t>CARAJÁS HOME CENTER</t>
  </si>
  <si>
    <t>03.656.804/0001-31</t>
  </si>
  <si>
    <t>11 - 4003-2020</t>
  </si>
  <si>
    <t>https://www.carajasonline.com/revestimento-tecnogres-br10180-10x10a-144m2-azul-080300103/p?idsku=13059&amp;utm_source=googleshopping&amp;utm_campaign=FullCatalog&amp;gclid=Cj0KCQiAj9iBBhCJARIsAE9qRtCRtGdhXinNWdO9VbILKKMrvonlNXneq1qZse0o-5zvLbPK1RcifhIaAvA9EALw_wcB</t>
  </si>
  <si>
    <t>FORNECIMENTO E INSTALAÇÃO DE LETREIRO EM ACM - CONFORME PROJETOS</t>
  </si>
  <si>
    <t>ATERRO MANUAL DE VALAS COM SOLO ARGILO-ARENOSO. AF_08/2023</t>
  </si>
  <si>
    <t>APLICAÇÃO DE ADUBO EM SOLO. AF_05/2018</t>
  </si>
  <si>
    <t>PLANTIO DE GRAMA BATATAIS EM PLACAS. AF_05/2018</t>
  </si>
  <si>
    <t>PLANTIO DE ARBUSTO OU  CERCA VIVA. AF_05/2018</t>
  </si>
  <si>
    <t>94319-SINAPI</t>
  </si>
  <si>
    <t>98520-SINAPI</t>
  </si>
  <si>
    <t>98504-SINAPI</t>
  </si>
  <si>
    <t>98509-SINAPI</t>
  </si>
  <si>
    <t>CANTEIRO (JARDINEIRA 01)</t>
  </si>
  <si>
    <t>CANTEIRO (JARDINEIRA 02)</t>
  </si>
  <si>
    <t>BASES BANCOS DE CONCRETO</t>
  </si>
  <si>
    <t>SAPATAS BANCOS DE CONCRETO</t>
  </si>
  <si>
    <t>ASSENTOS BANCOS DE CONCRETO (OVAIS)</t>
  </si>
  <si>
    <t>2.3.18</t>
  </si>
  <si>
    <t>2.3.19</t>
  </si>
  <si>
    <t>EMBASAMENTO JARDINEIRA 01</t>
  </si>
  <si>
    <t>EMBASAMENTO JARDINEIRA 02</t>
  </si>
  <si>
    <t>ELEVAÇÕES JARDINEIRA 01</t>
  </si>
  <si>
    <t>ELEVAÇÕES JARDINEIRA 02</t>
  </si>
  <si>
    <t>DESCONTO ENCOSTO BANCOS</t>
  </si>
  <si>
    <t>FACES ACENTOS</t>
  </si>
  <si>
    <t>ENCOSTOS BANCOS</t>
  </si>
  <si>
    <t>OBJETO: REFORMAS DOS TREVOS DE TERRA NOVA E DO DISTRITO DO GUARANI</t>
  </si>
  <si>
    <t>REFORMA DO TREVO DA ENTRADA DE TERRA NOVA</t>
  </si>
  <si>
    <t>ATERROS JARDINEIRAS</t>
  </si>
  <si>
    <t>JARDINEIRA 01</t>
  </si>
  <si>
    <t>JARDINEIRA 02</t>
  </si>
  <si>
    <t>2.4</t>
  </si>
  <si>
    <t>BASE LETREIRO (TERRA NOVA A TERRA DA CEBOLA)</t>
  </si>
  <si>
    <t>2.3.20</t>
  </si>
  <si>
    <t>2.4.1</t>
  </si>
  <si>
    <t>2.4.2</t>
  </si>
  <si>
    <t>2.4.3</t>
  </si>
  <si>
    <t>2.4.4</t>
  </si>
  <si>
    <t>2.4.5</t>
  </si>
  <si>
    <t>2.4.7</t>
  </si>
  <si>
    <t>SUB TOTAL 2.4</t>
  </si>
  <si>
    <t>SUPORTE PARA POSTE DE AÇO, 04 PÉTALAS</t>
  </si>
  <si>
    <t>REFLETOR DE LED TIPO HOLOFOTE LUZ BRANCA DE 100W COM PLACA SOLAR, FORNECIMENTO E INSTALAÇÃO</t>
  </si>
  <si>
    <t>04 EM CADA POSTE X QUANT. DE POSTES</t>
  </si>
  <si>
    <t>ILUMINAÇÃO LETREIRO TERRA NOVA TERRA DA CEBOLA</t>
  </si>
  <si>
    <t>ILUMINAÇÃO TOTEM</t>
  </si>
  <si>
    <t>SINAPI OUTUBRO/2023 - NÃO DESONERADA</t>
  </si>
  <si>
    <t>BASE PARA LETREIRO</t>
  </si>
  <si>
    <t>2.3.21</t>
  </si>
  <si>
    <t>2.3.22</t>
  </si>
  <si>
    <t>2.3.23</t>
  </si>
  <si>
    <t>FABRICAÇÃO, MONTAGEM E DESMONTAGEM DE FÔRMA PARA VIGA BALDRAME, EM CHAPA DE MADEIRA COMPENSADA RESINADA, E=17 MM, 4 UTILIZAÇÕES. AF_06/2017</t>
  </si>
  <si>
    <t>SINAPI NÃO DESONERADO NA DATA BASE OUTUBRO/2023</t>
  </si>
  <si>
    <t>96542-SINAPI</t>
  </si>
  <si>
    <t>2.3.24</t>
  </si>
  <si>
    <t>ARMAÇÃO DE PILAR OU VIGA DE ESTRUTURA CONVENCIONAL DE CONCRETO ARMADO UTILIZANDO AÇO CA-50 DE 8,0 MM - MONTAGEM. AF_06/2022</t>
  </si>
  <si>
    <t>92761-SINAPI</t>
  </si>
  <si>
    <t>SAPATA/BALDRAME LETREIRO (TERRA NOVA A TERRA DA CEBOLA)</t>
  </si>
  <si>
    <t>BASE ELEVADA LETREIRO (TERRA NOVA A TERRA DA CEBOLA)</t>
  </si>
  <si>
    <t>SAPATAS</t>
  </si>
  <si>
    <t>VIGA NAO APARELHADA *6 X 20* CM, EM MACARANDUBA/MASSARANDUBA, ANGELIM OU EQUIVALENTE DA REGIAO - BRUTA</t>
  </si>
  <si>
    <t>35272-INSUMOS SINAPI</t>
  </si>
  <si>
    <t>VIGAS INCLINADAS</t>
  </si>
  <si>
    <t>PARAFUSO DE ACO TIPO CHUMBADOR PARABOLT, DIAMETRO 1/2", COMPRIMENTO 75 MM</t>
  </si>
  <si>
    <t>11963-INSUMOS SINAPI</t>
  </si>
  <si>
    <t>CHUMBAMENTO VIGAS INCLINADAS (02 UNIDADES POR VIGA)</t>
  </si>
  <si>
    <t>PEÇAS PRÉ- MOLDADAS (PM) DE CONCRETO, ESP.= 5cm</t>
  </si>
  <si>
    <t>AJUDANTE DE CARPINTEIRO COM ENCARGOS COMPLEMENTARES</t>
  </si>
  <si>
    <t>ARMADOR COM ENCARGOS COMPLEMENTARES</t>
  </si>
  <si>
    <t>PREGO DE ACO POLIDO COM CABECA 18 X 27 (2 1/2 X 10)</t>
  </si>
  <si>
    <t>INSUMOS SINAPI</t>
  </si>
  <si>
    <t>COMPENSADO NAVAL - CHAPA/PAINEL EM MADEIRA COMPENSADA PRENSADA, DE 2200 X 1600 MM, E = 12 MM</t>
  </si>
  <si>
    <t>PEDRA BRITADA N. 1 (9,5 a 19 MM) POSTO PEDREIRA/FORNECEDOR, SEM FRETE</t>
  </si>
  <si>
    <t>43130</t>
  </si>
  <si>
    <t>CIMENTO PORTLAND COMPOSTO CP II-32</t>
  </si>
  <si>
    <t>ACO CA-50, 6,3 MM, DOBRADO E CORTADO</t>
  </si>
  <si>
    <t>AREIA GROSSA - POSTO JAZIDA/FORNECEDOR (RETIRADO NA JAZIDA, SEM TRANSPORTE)</t>
  </si>
  <si>
    <t>BETONEIRA CAPACIDADE NOMINAL DE 600 L, CAPACIDADE DE MISTURA 360 L, MOTOR ELÉTRICO TRIFÁSICO POTÊNCIA DE 4 CV, SEM CARREGADOR - CHP DIURNO. AF_05/2023</t>
  </si>
  <si>
    <t>EQUIP.</t>
  </si>
  <si>
    <t>CPH</t>
  </si>
  <si>
    <t>COMPOSIÇÃO EXTRAÍDA DO CÓDIGO C1901 - SEINFRA - PEÇAS PRÉ- MOLDADAS (PM) DE CONCRETO, ESP.= 5cm</t>
  </si>
  <si>
    <t>BANCOS DE CONCRETO PRÉ-MOLDADOS FORMATO U (150X50X45CM)</t>
  </si>
  <si>
    <t>TRAMA DE MADEIRA COMPOSTA POR RIPAS, CAIBROS E TERÇAS PARA TELHADOS DE ATÉ 2 ÁGUAS PARA TELHA DE ENCAIXE DE CERÂMICA OU DE CONCRETO, INCLUSO TRANSPORTE VERTICAL. AF_07/2019</t>
  </si>
  <si>
    <t>92539-SINAPI</t>
  </si>
  <si>
    <t>TELHAMENTO COM TELHA CERÂMICA DE ENCAIXE, TIPO ROMANA, COM ATÉ 2 ÁGUAS, INCLUSO TRANSPORTE VERTICAL. AF_07/2019</t>
  </si>
  <si>
    <t>94442-SINAPI</t>
  </si>
  <si>
    <t>ÁREA TOTAL TELHADO</t>
  </si>
  <si>
    <t>TRAMA DE MADEIRA COBERTURA</t>
  </si>
  <si>
    <t>FACES EXTERNAS</t>
  </si>
  <si>
    <t>FACES INTERNAS</t>
  </si>
  <si>
    <t>FECHAMENTOS LATERAIS</t>
  </si>
  <si>
    <t>LETREIROS EM ACM (TERRA NOVA)</t>
  </si>
  <si>
    <t>LETREIROS EM ACM (TERRA DA CEBOLA)</t>
  </si>
  <si>
    <t>REFORMA DO TREVO DA ENTRADA DO DISTRITO DO GUARANI</t>
  </si>
  <si>
    <t>FONTE: TABELA DO SINAPI OUTUBRO/2023 -  NÃO DESONERADA</t>
  </si>
  <si>
    <t>4.4</t>
  </si>
  <si>
    <t>4.4.1</t>
  </si>
  <si>
    <t>4.4.2</t>
  </si>
  <si>
    <t>4.4.3</t>
  </si>
  <si>
    <t>4.4.4</t>
  </si>
  <si>
    <t>4.4.5</t>
  </si>
  <si>
    <t>4.4.6</t>
  </si>
  <si>
    <t>SUB TOTAL 4.4</t>
  </si>
  <si>
    <t>CANTEIROS</t>
  </si>
  <si>
    <t>CANTEIRO LATERAL ESQUERDA</t>
  </si>
  <si>
    <t>CANTEIRO CENTRO</t>
  </si>
  <si>
    <t>CANTEIRO LATERAL DIREITA</t>
  </si>
  <si>
    <t>LUMINÁRIA DE LED PARA ILUMINAÇÃO PÚBLICA, DE 250W COM PLACA SOLAR - FORNECIMENTO E INSTALAÇÃO</t>
  </si>
  <si>
    <t>SUSTENTA LED</t>
  </si>
  <si>
    <t>ECOSOLI SUSTENTABILIDADE</t>
  </si>
  <si>
    <t>PLANET ILUMINAÇÃO E VARIEDADES</t>
  </si>
  <si>
    <t>AMERICANAS.COM</t>
  </si>
  <si>
    <t>MAGAZINE LUIZA</t>
  </si>
  <si>
    <t>CARREFOUR</t>
  </si>
  <si>
    <t>MAGAZINE DAS CIDADES</t>
  </si>
  <si>
    <t>25.003.525/0001-01</t>
  </si>
  <si>
    <t>NIEDSON SOUZA</t>
  </si>
  <si>
    <t>81 - 3095-0741</t>
  </si>
  <si>
    <t>POSTE AÇO</t>
  </si>
  <si>
    <t>43.653.081/0001-31</t>
  </si>
  <si>
    <t>FELIPE</t>
  </si>
  <si>
    <t>81-2011-4333</t>
  </si>
  <si>
    <t>POSTE MAX</t>
  </si>
  <si>
    <t>10.088.843/0001-57</t>
  </si>
  <si>
    <t>DANTE</t>
  </si>
  <si>
    <t>81-3465.2348</t>
  </si>
  <si>
    <t>PLABOX  SOLUÇÕES E LOCAÇÕES</t>
  </si>
  <si>
    <t>06.369.756/0001-99</t>
  </si>
  <si>
    <t>JESIEL</t>
  </si>
  <si>
    <t>NATANAEL MOREIRA ROCHA</t>
  </si>
  <si>
    <t>19.392.427/0001-00</t>
  </si>
  <si>
    <t>NATANAEL</t>
  </si>
  <si>
    <t>PLURAL</t>
  </si>
  <si>
    <t>50.814.252/0001-22</t>
  </si>
  <si>
    <t>MARCOS PAULO</t>
  </si>
  <si>
    <t>819.9955-4702</t>
  </si>
  <si>
    <t>REVESTIMENTOS TOTEM ENTRADA TERRA NOVA - CONFORME PROJETOS (M2)</t>
  </si>
  <si>
    <t>TOTAL (M2)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</si>
</sst>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#,##0.00\ ;&quot; (&quot;#,##0.00\);&quot; -&quot;#\ ;@\ "/>
    <numFmt numFmtId="172" formatCode="0.0"/>
    <numFmt numFmtId="173" formatCode="_-* #,##0.00_-;\-* #,##0.00_-;_-* \-??_-;_-@_-"/>
    <numFmt numFmtId="174" formatCode="_(* #,##0.00_);_(* \(#,##0.00\);_(* \-??_);_(@_)"/>
    <numFmt numFmtId="175" formatCode="#,##0.00;[Red]#,##0.00"/>
    <numFmt numFmtId="176" formatCode="dd/mm/yy"/>
    <numFmt numFmtId="177" formatCode="&quot;R$&quot;\ #,##0.00"/>
    <numFmt numFmtId="178" formatCode="&quot;R$&quot;#,##0.00_);\(&quot;R$&quot;#,##0.00\)"/>
    <numFmt numFmtId="179" formatCode="0.000"/>
    <numFmt numFmtId="180" formatCode="0.00000"/>
    <numFmt numFmtId="181" formatCode="0.0000"/>
    <numFmt numFmtId="182" formatCode="_-* #,##0.0_-;\-* #,##0.0_-;_-* \-??_-;_-@_-"/>
    <numFmt numFmtId="183" formatCode="_-* #,##0_-;\-* #,##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(* #,##0.00_);_(* \(#,##0.00\);_(* &quot;-&quot;??_);_(@_)"/>
    <numFmt numFmtId="189" formatCode="[$-416]dddd\,\ d&quot; de &quot;mmmm&quot; de &quot;yyyy"/>
    <numFmt numFmtId="190" formatCode="#,##0.0"/>
    <numFmt numFmtId="191" formatCode="_(&quot;R$ &quot;* #,##0.00_);_(&quot;R$ &quot;* \(#,##0.00\);_(&quot;R$ &quot;* &quot;-&quot;??_);_(@_)"/>
    <numFmt numFmtId="192" formatCode="&quot;R$ &quot;#,##0_);[Red]\(&quot;R$ &quot;#,##0\)"/>
    <numFmt numFmtId="193" formatCode="0.00\ \ "/>
    <numFmt numFmtId="194" formatCode="_-* #,##0.0000_-;\-* #,##0.0000_-;_-* &quot;-&quot;????_-;_-@_-"/>
    <numFmt numFmtId="195" formatCode="#,##0.0000"/>
    <numFmt numFmtId="196" formatCode="#,##0.00000"/>
    <numFmt numFmtId="197" formatCode="mmm/yyyy"/>
    <numFmt numFmtId="198" formatCode="0.000000"/>
    <numFmt numFmtId="199" formatCode="0.0000000"/>
    <numFmt numFmtId="200" formatCode="0.0%"/>
    <numFmt numFmtId="201" formatCode="_-* #,##0.00000_-;\-* #,##0.00000_-;_-* &quot;-&quot;?????_-;_-@_-"/>
    <numFmt numFmtId="202" formatCode="&quot;Sim&quot;;&quot;Sim&quot;;&quot;Não&quot;"/>
    <numFmt numFmtId="203" formatCode="&quot;Verdadeiro&quot;;&quot;Verdadeiro&quot;;&quot;Falso&quot;"/>
    <numFmt numFmtId="204" formatCode="&quot;Ativado&quot;;&quot;Ativado&quot;;&quot;Desativado&quot;"/>
    <numFmt numFmtId="205" formatCode="[$€-2]\ #,##0.00_);[Red]\([$€-2]\ #,##0.00\)"/>
  </numFmts>
  <fonts count="68">
    <font>
      <sz val="10"/>
      <name val="Arial"/>
      <family val="2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1"/>
      <family val="0"/>
    </font>
    <font>
      <sz val="10"/>
      <name val="Mang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8"/>
      <name val="Arial Narrow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u val="single"/>
      <sz val="10"/>
      <color theme="1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171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91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4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5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55" fillId="21" borderId="5" applyNumberFormat="0" applyAlignment="0" applyProtection="0"/>
    <xf numFmtId="41" fontId="0" fillId="0" borderId="0" applyFill="0" applyBorder="0" applyAlignment="0" applyProtection="0"/>
    <xf numFmtId="171" fontId="4" fillId="0" borderId="0">
      <alignment/>
      <protection/>
    </xf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4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3" fontId="5" fillId="0" borderId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49" fontId="10" fillId="33" borderId="10" xfId="79" applyNumberFormat="1" applyFont="1" applyFill="1" applyBorder="1" applyAlignment="1">
      <alignment horizontal="center" vertical="center"/>
      <protection/>
    </xf>
    <xf numFmtId="49" fontId="10" fillId="33" borderId="11" xfId="79" applyNumberFormat="1" applyFont="1" applyFill="1" applyBorder="1" applyAlignment="1">
      <alignment horizontal="center" vertical="center"/>
      <protection/>
    </xf>
    <xf numFmtId="0" fontId="10" fillId="33" borderId="12" xfId="79" applyNumberFormat="1" applyFont="1" applyFill="1" applyBorder="1" applyAlignment="1">
      <alignment horizontal="center" vertical="center"/>
      <protection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17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justify" vertical="center" wrapText="1"/>
    </xf>
    <xf numFmtId="2" fontId="16" fillId="34" borderId="0" xfId="0" applyNumberFormat="1" applyFont="1" applyFill="1" applyAlignment="1">
      <alignment vertical="center"/>
    </xf>
    <xf numFmtId="0" fontId="16" fillId="35" borderId="0" xfId="0" applyFont="1" applyFill="1" applyAlignment="1">
      <alignment vertical="center"/>
    </xf>
    <xf numFmtId="43" fontId="63" fillId="0" borderId="14" xfId="106" applyFont="1" applyFill="1" applyBorder="1" applyAlignment="1">
      <alignment horizontal="center" vertical="center"/>
    </xf>
    <xf numFmtId="0" fontId="16" fillId="36" borderId="0" xfId="0" applyFont="1" applyFill="1" applyAlignment="1">
      <alignment vertical="center"/>
    </xf>
    <xf numFmtId="0" fontId="14" fillId="0" borderId="15" xfId="64" applyFont="1" applyFill="1" applyBorder="1" applyAlignment="1">
      <alignment horizontal="center" vertical="center" wrapText="1"/>
      <protection/>
    </xf>
    <xf numFmtId="0" fontId="14" fillId="0" borderId="14" xfId="64" applyFont="1" applyFill="1" applyBorder="1" applyAlignment="1">
      <alignment horizontal="center" vertical="center" wrapText="1"/>
      <protection/>
    </xf>
    <xf numFmtId="4" fontId="14" fillId="0" borderId="14" xfId="71" applyNumberFormat="1" applyFont="1" applyFill="1" applyBorder="1" applyAlignment="1">
      <alignment horizontal="center" vertical="center" wrapText="1"/>
      <protection/>
    </xf>
    <xf numFmtId="175" fontId="16" fillId="0" borderId="14" xfId="0" applyNumberFormat="1" applyFont="1" applyFill="1" applyBorder="1" applyAlignment="1">
      <alignment horizontal="right" vertical="center"/>
    </xf>
    <xf numFmtId="174" fontId="14" fillId="0" borderId="14" xfId="117" applyNumberFormat="1" applyFont="1" applyFill="1" applyBorder="1" applyAlignment="1" applyProtection="1">
      <alignment horizontal="right" vertical="center" wrapText="1"/>
      <protection/>
    </xf>
    <xf numFmtId="2" fontId="15" fillId="36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/>
    </xf>
    <xf numFmtId="172" fontId="14" fillId="37" borderId="14" xfId="0" applyNumberFormat="1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justify" vertical="center" wrapText="1"/>
    </xf>
    <xf numFmtId="174" fontId="18" fillId="37" borderId="14" xfId="117" applyNumberFormat="1" applyFont="1" applyFill="1" applyBorder="1" applyAlignment="1" applyProtection="1">
      <alignment vertical="center" wrapText="1"/>
      <protection/>
    </xf>
    <xf numFmtId="174" fontId="19" fillId="37" borderId="14" xfId="117" applyNumberFormat="1" applyFont="1" applyFill="1" applyBorder="1" applyAlignment="1" applyProtection="1">
      <alignment horizontal="right" vertical="center" wrapText="1"/>
      <protection/>
    </xf>
    <xf numFmtId="4" fontId="14" fillId="37" borderId="14" xfId="71" applyNumberFormat="1" applyFont="1" applyFill="1" applyBorder="1" applyAlignment="1">
      <alignment horizontal="center" vertical="center" wrapText="1"/>
      <protection/>
    </xf>
    <xf numFmtId="175" fontId="16" fillId="37" borderId="14" xfId="0" applyNumberFormat="1" applyFont="1" applyFill="1" applyBorder="1" applyAlignment="1">
      <alignment horizontal="right" vertical="center"/>
    </xf>
    <xf numFmtId="174" fontId="14" fillId="37" borderId="14" xfId="117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4" xfId="64" applyFont="1" applyFill="1" applyBorder="1" applyAlignment="1">
      <alignment horizontal="center" vertical="center" wrapText="1"/>
      <protection/>
    </xf>
    <xf numFmtId="0" fontId="15" fillId="0" borderId="16" xfId="64" applyFont="1" applyFill="1" applyBorder="1" applyAlignment="1">
      <alignment horizontal="center" vertical="center" wrapText="1"/>
      <protection/>
    </xf>
    <xf numFmtId="0" fontId="15" fillId="0" borderId="0" xfId="64" applyFont="1" applyFill="1" applyBorder="1" applyAlignment="1">
      <alignment horizontal="center" vertical="center" wrapText="1"/>
      <protection/>
    </xf>
    <xf numFmtId="0" fontId="14" fillId="0" borderId="14" xfId="64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20" fillId="0" borderId="0" xfId="6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2" fontId="15" fillId="0" borderId="14" xfId="106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/>
    </xf>
    <xf numFmtId="2" fontId="15" fillId="0" borderId="14" xfId="106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14" fillId="0" borderId="14" xfId="106" applyNumberFormat="1" applyFont="1" applyFill="1" applyBorder="1" applyAlignment="1">
      <alignment horizontal="center" vertical="center"/>
    </xf>
    <xf numFmtId="2" fontId="64" fillId="0" borderId="14" xfId="106" applyNumberFormat="1" applyFont="1" applyFill="1" applyBorder="1" applyAlignment="1">
      <alignment horizontal="right" vertical="center"/>
    </xf>
    <xf numFmtId="2" fontId="64" fillId="0" borderId="14" xfId="106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37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36" borderId="0" xfId="0" applyFont="1" applyFill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16" fillId="0" borderId="0" xfId="63" applyFont="1">
      <alignment/>
      <protection/>
    </xf>
    <xf numFmtId="0" fontId="17" fillId="0" borderId="0" xfId="63" applyFont="1" applyBorder="1" applyAlignment="1">
      <alignment horizontal="left" vertical="top" wrapText="1"/>
      <protection/>
    </xf>
    <xf numFmtId="0" fontId="17" fillId="0" borderId="0" xfId="63" applyFont="1" applyBorder="1" applyAlignment="1">
      <alignment horizontal="left"/>
      <protection/>
    </xf>
    <xf numFmtId="0" fontId="16" fillId="0" borderId="0" xfId="68" applyFont="1" applyBorder="1">
      <alignment/>
      <protection/>
    </xf>
    <xf numFmtId="0" fontId="16" fillId="0" borderId="0" xfId="68" applyFont="1">
      <alignment/>
      <protection/>
    </xf>
    <xf numFmtId="173" fontId="15" fillId="0" borderId="0" xfId="117" applyFont="1" applyBorder="1" applyAlignment="1">
      <alignment vertical="center"/>
    </xf>
    <xf numFmtId="43" fontId="16" fillId="0" borderId="0" xfId="68" applyNumberFormat="1" applyFont="1" applyAlignment="1">
      <alignment vertical="center"/>
      <protection/>
    </xf>
    <xf numFmtId="40" fontId="16" fillId="0" borderId="0" xfId="68" applyNumberFormat="1" applyFont="1">
      <alignment/>
      <protection/>
    </xf>
    <xf numFmtId="40" fontId="16" fillId="0" borderId="0" xfId="68" applyNumberFormat="1" applyFont="1" applyAlignment="1">
      <alignment horizontal="center"/>
      <protection/>
    </xf>
    <xf numFmtId="0" fontId="17" fillId="0" borderId="0" xfId="68" applyFont="1">
      <alignment/>
      <protection/>
    </xf>
    <xf numFmtId="0" fontId="17" fillId="36" borderId="0" xfId="68" applyFont="1" applyFill="1" applyBorder="1" applyAlignment="1">
      <alignment horizontal="center"/>
      <protection/>
    </xf>
    <xf numFmtId="2" fontId="16" fillId="36" borderId="0" xfId="68" applyNumberFormat="1" applyFont="1" applyFill="1" applyBorder="1" applyAlignment="1">
      <alignment horizontal="center"/>
      <protection/>
    </xf>
    <xf numFmtId="2" fontId="16" fillId="0" borderId="0" xfId="68" applyNumberFormat="1" applyFont="1" applyBorder="1" applyAlignment="1">
      <alignment vertical="center"/>
      <protection/>
    </xf>
    <xf numFmtId="0" fontId="17" fillId="36" borderId="0" xfId="68" applyFont="1" applyFill="1" applyBorder="1" applyAlignment="1">
      <alignment vertical="top" wrapText="1"/>
      <protection/>
    </xf>
    <xf numFmtId="2" fontId="17" fillId="0" borderId="0" xfId="68" applyNumberFormat="1" applyFont="1">
      <alignment/>
      <protection/>
    </xf>
    <xf numFmtId="173" fontId="15" fillId="0" borderId="0" xfId="117" applyFont="1" applyAlignment="1">
      <alignment horizontal="center" vertical="center"/>
    </xf>
    <xf numFmtId="40" fontId="17" fillId="0" borderId="0" xfId="68" applyNumberFormat="1" applyFont="1">
      <alignment/>
      <protection/>
    </xf>
    <xf numFmtId="2" fontId="17" fillId="0" borderId="0" xfId="68" applyNumberFormat="1" applyFont="1" applyBorder="1">
      <alignment/>
      <protection/>
    </xf>
    <xf numFmtId="0" fontId="17" fillId="0" borderId="0" xfId="68" applyFont="1" applyBorder="1" applyAlignment="1">
      <alignment horizontal="center"/>
      <protection/>
    </xf>
    <xf numFmtId="0" fontId="17" fillId="0" borderId="0" xfId="68" applyFont="1" applyBorder="1" applyAlignment="1">
      <alignment horizontal="left"/>
      <protection/>
    </xf>
    <xf numFmtId="0" fontId="16" fillId="0" borderId="0" xfId="68" applyFont="1" applyBorder="1" applyAlignment="1">
      <alignment horizontal="center"/>
      <protection/>
    </xf>
    <xf numFmtId="0" fontId="17" fillId="0" borderId="0" xfId="68" applyFont="1" applyBorder="1">
      <alignment/>
      <protection/>
    </xf>
    <xf numFmtId="0" fontId="16" fillId="36" borderId="0" xfId="68" applyFont="1" applyFill="1">
      <alignment/>
      <protection/>
    </xf>
    <xf numFmtId="0" fontId="17" fillId="36" borderId="0" xfId="68" applyFont="1" applyFill="1" applyBorder="1">
      <alignment/>
      <protection/>
    </xf>
    <xf numFmtId="0" fontId="17" fillId="38" borderId="0" xfId="68" applyFont="1" applyFill="1">
      <alignment/>
      <protection/>
    </xf>
    <xf numFmtId="0" fontId="16" fillId="36" borderId="0" xfId="63" applyFont="1" applyFill="1">
      <alignment/>
      <protection/>
    </xf>
    <xf numFmtId="0" fontId="16" fillId="36" borderId="0" xfId="63" applyFont="1" applyFill="1" applyBorder="1" applyAlignment="1">
      <alignment horizontal="center"/>
      <protection/>
    </xf>
    <xf numFmtId="0" fontId="16" fillId="36" borderId="0" xfId="63" applyFont="1" applyFill="1" applyBorder="1" applyAlignment="1">
      <alignment horizontal="left" vertical="top" wrapText="1"/>
      <protection/>
    </xf>
    <xf numFmtId="2" fontId="17" fillId="36" borderId="0" xfId="63" applyNumberFormat="1" applyFont="1" applyFill="1" applyBorder="1" applyAlignment="1">
      <alignment horizontal="center"/>
      <protection/>
    </xf>
    <xf numFmtId="2" fontId="16" fillId="0" borderId="0" xfId="63" applyNumberFormat="1" applyFont="1" applyBorder="1">
      <alignment/>
      <protection/>
    </xf>
    <xf numFmtId="2" fontId="17" fillId="0" borderId="0" xfId="63" applyNumberFormat="1" applyFont="1">
      <alignment/>
      <protection/>
    </xf>
    <xf numFmtId="0" fontId="17" fillId="0" borderId="0" xfId="63" applyFont="1">
      <alignment/>
      <protection/>
    </xf>
    <xf numFmtId="0" fontId="17" fillId="36" borderId="0" xfId="63" applyFont="1" applyFill="1" applyBorder="1" applyAlignment="1">
      <alignment horizontal="center"/>
      <protection/>
    </xf>
    <xf numFmtId="2" fontId="17" fillId="0" borderId="0" xfId="63" applyNumberFormat="1" applyFont="1" applyBorder="1">
      <alignment/>
      <protection/>
    </xf>
    <xf numFmtId="0" fontId="17" fillId="36" borderId="0" xfId="63" applyFont="1" applyFill="1" applyBorder="1" applyAlignment="1">
      <alignment horizontal="left" vertical="top" wrapText="1"/>
      <protection/>
    </xf>
    <xf numFmtId="0" fontId="17" fillId="36" borderId="0" xfId="63" applyFont="1" applyFill="1" applyBorder="1" applyAlignment="1">
      <alignment horizontal="center" vertical="top"/>
      <protection/>
    </xf>
    <xf numFmtId="0" fontId="17" fillId="38" borderId="0" xfId="63" applyFont="1" applyFill="1">
      <alignment/>
      <protection/>
    </xf>
    <xf numFmtId="0" fontId="17" fillId="36" borderId="0" xfId="63" applyFont="1" applyFill="1" applyBorder="1" applyAlignment="1">
      <alignment vertical="top" wrapText="1"/>
      <protection/>
    </xf>
    <xf numFmtId="0" fontId="17" fillId="36" borderId="0" xfId="63" applyFont="1" applyFill="1" applyBorder="1" applyAlignment="1">
      <alignment horizontal="left"/>
      <protection/>
    </xf>
    <xf numFmtId="0" fontId="17" fillId="0" borderId="0" xfId="63" applyFont="1" applyBorder="1">
      <alignment/>
      <protection/>
    </xf>
    <xf numFmtId="0" fontId="17" fillId="36" borderId="0" xfId="63" applyFont="1" applyFill="1" applyBorder="1">
      <alignment/>
      <protection/>
    </xf>
    <xf numFmtId="0" fontId="16" fillId="36" borderId="0" xfId="63" applyFont="1" applyFill="1" applyBorder="1">
      <alignment/>
      <protection/>
    </xf>
    <xf numFmtId="0" fontId="14" fillId="0" borderId="24" xfId="64" applyFont="1" applyFill="1" applyBorder="1" applyAlignment="1">
      <alignment horizontal="left" vertical="center" wrapText="1"/>
      <protection/>
    </xf>
    <xf numFmtId="169" fontId="14" fillId="0" borderId="14" xfId="64" applyNumberFormat="1" applyFont="1" applyFill="1" applyBorder="1" applyAlignment="1">
      <alignment horizontal="left" vertical="center" wrapText="1"/>
      <protection/>
    </xf>
    <xf numFmtId="10" fontId="15" fillId="0" borderId="0" xfId="82" applyNumberFormat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/>
    </xf>
    <xf numFmtId="2" fontId="16" fillId="0" borderId="14" xfId="15" applyNumberFormat="1" applyFont="1" applyFill="1" applyBorder="1" applyAlignment="1">
      <alignment horizontal="center" vertical="center" wrapText="1"/>
      <protection/>
    </xf>
    <xf numFmtId="2" fontId="16" fillId="35" borderId="0" xfId="0" applyNumberFormat="1" applyFont="1" applyFill="1" applyAlignment="1">
      <alignment vertical="center"/>
    </xf>
    <xf numFmtId="0" fontId="16" fillId="0" borderId="25" xfId="68" applyFont="1" applyFill="1" applyBorder="1">
      <alignment/>
      <protection/>
    </xf>
    <xf numFmtId="0" fontId="17" fillId="39" borderId="26" xfId="68" applyFont="1" applyFill="1" applyBorder="1" applyAlignment="1">
      <alignment horizontal="center"/>
      <protection/>
    </xf>
    <xf numFmtId="0" fontId="16" fillId="0" borderId="27" xfId="68" applyFont="1" applyFill="1" applyBorder="1">
      <alignment/>
      <protection/>
    </xf>
    <xf numFmtId="0" fontId="16" fillId="0" borderId="28" xfId="68" applyFont="1" applyFill="1" applyBorder="1">
      <alignment/>
      <protection/>
    </xf>
    <xf numFmtId="2" fontId="63" fillId="0" borderId="14" xfId="106" applyNumberFormat="1" applyFont="1" applyFill="1" applyBorder="1" applyAlignment="1">
      <alignment horizontal="center" vertical="center"/>
    </xf>
    <xf numFmtId="2" fontId="63" fillId="0" borderId="14" xfId="117" applyNumberFormat="1" applyFont="1" applyFill="1" applyBorder="1" applyAlignment="1" applyProtection="1">
      <alignment horizontal="center" vertical="center" wrapText="1"/>
      <protection/>
    </xf>
    <xf numFmtId="2" fontId="15" fillId="0" borderId="14" xfId="117" applyNumberFormat="1" applyFont="1" applyFill="1" applyBorder="1" applyAlignment="1" applyProtection="1">
      <alignment horizontal="center" vertical="center" wrapText="1"/>
      <protection/>
    </xf>
    <xf numFmtId="43" fontId="15" fillId="0" borderId="14" xfId="106" applyFont="1" applyFill="1" applyBorder="1" applyAlignment="1">
      <alignment horizontal="center" vertical="center"/>
    </xf>
    <xf numFmtId="2" fontId="65" fillId="37" borderId="14" xfId="117" applyNumberFormat="1" applyFont="1" applyFill="1" applyBorder="1" applyAlignment="1" applyProtection="1">
      <alignment vertical="center" wrapText="1"/>
      <protection/>
    </xf>
    <xf numFmtId="2" fontId="16" fillId="0" borderId="14" xfId="117" applyNumberFormat="1" applyFont="1" applyFill="1" applyBorder="1" applyAlignment="1" applyProtection="1">
      <alignment vertical="center"/>
      <protection/>
    </xf>
    <xf numFmtId="2" fontId="15" fillId="0" borderId="14" xfId="117" applyNumberFormat="1" applyFont="1" applyFill="1" applyBorder="1" applyAlignment="1" applyProtection="1">
      <alignment horizontal="center" vertical="center"/>
      <protection/>
    </xf>
    <xf numFmtId="2" fontId="16" fillId="37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63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4" fontId="65" fillId="37" borderId="14" xfId="117" applyNumberFormat="1" applyFont="1" applyFill="1" applyBorder="1" applyAlignment="1" applyProtection="1">
      <alignment vertical="center" wrapText="1"/>
      <protection/>
    </xf>
    <xf numFmtId="174" fontId="65" fillId="0" borderId="14" xfId="117" applyNumberFormat="1" applyFont="1" applyFill="1" applyBorder="1" applyAlignment="1" applyProtection="1">
      <alignment vertical="center" wrapText="1"/>
      <protection/>
    </xf>
    <xf numFmtId="2" fontId="17" fillId="0" borderId="0" xfId="15" applyNumberFormat="1" applyFont="1" applyFill="1" applyBorder="1" applyAlignment="1">
      <alignment vertical="center"/>
      <protection/>
    </xf>
    <xf numFmtId="2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2" fontId="15" fillId="0" borderId="14" xfId="117" applyNumberFormat="1" applyFont="1" applyFill="1" applyBorder="1" applyAlignment="1" applyProtection="1">
      <alignment vertical="center"/>
      <protection/>
    </xf>
    <xf numFmtId="2" fontId="16" fillId="0" borderId="14" xfId="15" applyNumberFormat="1" applyFont="1" applyFill="1" applyBorder="1" applyAlignment="1">
      <alignment horizontal="center" vertical="center"/>
      <protection/>
    </xf>
    <xf numFmtId="2" fontId="15" fillId="0" borderId="14" xfId="117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0" fontId="14" fillId="36" borderId="0" xfId="0" applyFont="1" applyFill="1" applyAlignment="1">
      <alignment horizontal="center" vertical="justify"/>
    </xf>
    <xf numFmtId="0" fontId="15" fillId="0" borderId="0" xfId="0" applyFont="1" applyAlignment="1">
      <alignment vertical="center"/>
    </xf>
    <xf numFmtId="0" fontId="15" fillId="0" borderId="0" xfId="61" applyFont="1" applyFill="1" applyBorder="1" applyAlignment="1">
      <alignment horizontal="center" vertical="center"/>
      <protection/>
    </xf>
    <xf numFmtId="2" fontId="15" fillId="0" borderId="14" xfId="117" applyNumberFormat="1" applyFont="1" applyFill="1" applyBorder="1" applyAlignment="1">
      <alignment horizontal="center" vertical="center" wrapText="1"/>
    </xf>
    <xf numFmtId="2" fontId="14" fillId="0" borderId="14" xfId="64" applyNumberFormat="1" applyFont="1" applyFill="1" applyBorder="1" applyAlignment="1">
      <alignment horizontal="center" vertical="center" wrapText="1"/>
      <protection/>
    </xf>
    <xf numFmtId="2" fontId="15" fillId="0" borderId="24" xfId="117" applyNumberFormat="1" applyFont="1" applyFill="1" applyBorder="1" applyAlignment="1">
      <alignment horizontal="center" vertical="center" wrapText="1"/>
    </xf>
    <xf numFmtId="2" fontId="15" fillId="0" borderId="14" xfId="64" applyNumberFormat="1" applyFont="1" applyFill="1" applyBorder="1" applyAlignment="1">
      <alignment horizontal="center" vertical="center"/>
      <protection/>
    </xf>
    <xf numFmtId="2" fontId="15" fillId="0" borderId="0" xfId="0" applyNumberFormat="1" applyFont="1" applyFill="1" applyAlignment="1">
      <alignment horizontal="center" vertical="center"/>
    </xf>
    <xf numFmtId="2" fontId="15" fillId="0" borderId="0" xfId="117" applyNumberFormat="1" applyFont="1" applyFill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17" fillId="0" borderId="14" xfId="15" applyFont="1" applyFill="1" applyBorder="1" applyAlignment="1">
      <alignment horizontal="center" vertical="center" wrapText="1"/>
      <protection/>
    </xf>
    <xf numFmtId="2" fontId="17" fillId="0" borderId="14" xfId="15" applyNumberFormat="1" applyFont="1" applyFill="1" applyBorder="1" applyAlignment="1">
      <alignment horizontal="center" vertical="center" wrapText="1"/>
      <protection/>
    </xf>
    <xf numFmtId="4" fontId="17" fillId="0" borderId="14" xfId="117" applyNumberFormat="1" applyFont="1" applyFill="1" applyBorder="1" applyAlignment="1" applyProtection="1">
      <alignment horizontal="right" vertical="center"/>
      <protection/>
    </xf>
    <xf numFmtId="0" fontId="63" fillId="0" borderId="14" xfId="0" applyFont="1" applyBorder="1" applyAlignment="1">
      <alignment horizontal="center" vertical="center" wrapText="1"/>
    </xf>
    <xf numFmtId="0" fontId="14" fillId="0" borderId="29" xfId="61" applyFont="1" applyBorder="1" applyAlignment="1">
      <alignment horizontal="center" vertical="center" wrapText="1"/>
      <protection/>
    </xf>
    <xf numFmtId="195" fontId="14" fillId="0" borderId="29" xfId="61" applyNumberFormat="1" applyFont="1" applyBorder="1" applyAlignment="1">
      <alignment horizontal="center" vertical="center" wrapText="1"/>
      <protection/>
    </xf>
    <xf numFmtId="43" fontId="14" fillId="0" borderId="30" xfId="61" applyNumberFormat="1" applyFont="1" applyBorder="1" applyAlignment="1">
      <alignment horizontal="center" vertical="top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195" fontId="14" fillId="0" borderId="14" xfId="61" applyNumberFormat="1" applyFont="1" applyBorder="1" applyAlignment="1">
      <alignment horizontal="center" vertical="center" wrapText="1"/>
      <protection/>
    </xf>
    <xf numFmtId="43" fontId="14" fillId="0" borderId="14" xfId="61" applyNumberFormat="1" applyFont="1" applyBorder="1" applyAlignment="1">
      <alignment horizontal="center" vertical="center" wrapText="1"/>
      <protection/>
    </xf>
    <xf numFmtId="43" fontId="14" fillId="0" borderId="31" xfId="61" applyNumberFormat="1" applyFont="1" applyBorder="1" applyAlignment="1">
      <alignment horizontal="center" vertical="center" wrapText="1"/>
      <protection/>
    </xf>
    <xf numFmtId="43" fontId="15" fillId="0" borderId="31" xfId="69" applyNumberFormat="1" applyFont="1" applyBorder="1" applyAlignment="1">
      <alignment horizontal="center" vertical="center"/>
      <protection/>
    </xf>
    <xf numFmtId="43" fontId="15" fillId="0" borderId="31" xfId="61" applyNumberFormat="1" applyFont="1" applyBorder="1" applyAlignment="1">
      <alignment horizontal="right" vertical="top"/>
      <protection/>
    </xf>
    <xf numFmtId="43" fontId="14" fillId="0" borderId="31" xfId="61" applyNumberFormat="1" applyFont="1" applyBorder="1" applyAlignment="1">
      <alignment horizontal="right" vertical="top"/>
      <protection/>
    </xf>
    <xf numFmtId="0" fontId="15" fillId="0" borderId="14" xfId="0" applyFont="1" applyBorder="1" applyAlignment="1">
      <alignment horizontal="right" vertical="center" wrapText="1"/>
    </xf>
    <xf numFmtId="4" fontId="15" fillId="0" borderId="14" xfId="71" applyNumberFormat="1" applyFont="1" applyBorder="1" applyAlignment="1">
      <alignment horizontal="center" vertical="center" wrapText="1"/>
      <protection/>
    </xf>
    <xf numFmtId="0" fontId="66" fillId="0" borderId="32" xfId="0" applyFont="1" applyBorder="1" applyAlignment="1">
      <alignment horizontal="center" vertical="center" wrapText="1"/>
    </xf>
    <xf numFmtId="49" fontId="15" fillId="0" borderId="14" xfId="69" applyNumberFormat="1" applyFont="1" applyBorder="1" applyAlignment="1">
      <alignment horizontal="center" vertical="center" wrapText="1"/>
      <protection/>
    </xf>
    <xf numFmtId="174" fontId="15" fillId="0" borderId="32" xfId="117" applyNumberFormat="1" applyFont="1" applyFill="1" applyBorder="1" applyAlignment="1" applyProtection="1">
      <alignment horizontal="right" vertical="center" wrapText="1"/>
      <protection/>
    </xf>
    <xf numFmtId="0" fontId="63" fillId="0" borderId="14" xfId="0" applyFont="1" applyFill="1" applyBorder="1" applyAlignment="1">
      <alignment horizontal="center" vertical="center" wrapText="1"/>
    </xf>
    <xf numFmtId="43" fontId="16" fillId="0" borderId="0" xfId="0" applyNumberFormat="1" applyFont="1" applyFill="1" applyAlignment="1">
      <alignment vertical="center"/>
    </xf>
    <xf numFmtId="0" fontId="42" fillId="33" borderId="0" xfId="79" applyFill="1" applyBorder="1" applyAlignment="1">
      <alignment vertical="center"/>
      <protection/>
    </xf>
    <xf numFmtId="0" fontId="42" fillId="33" borderId="0" xfId="79" applyFill="1" applyBorder="1" applyAlignment="1">
      <alignment horizontal="center" vertical="center"/>
      <protection/>
    </xf>
    <xf numFmtId="0" fontId="42" fillId="33" borderId="0" xfId="79" applyFill="1" applyAlignment="1">
      <alignment vertical="center"/>
      <protection/>
    </xf>
    <xf numFmtId="0" fontId="0" fillId="33" borderId="0" xfId="64" applyFill="1" applyAlignment="1">
      <alignment vertical="center"/>
      <protection/>
    </xf>
    <xf numFmtId="0" fontId="0" fillId="33" borderId="0" xfId="64" applyFill="1" applyAlignment="1">
      <alignment horizontal="center" vertical="center"/>
      <protection/>
    </xf>
    <xf numFmtId="0" fontId="42" fillId="33" borderId="33" xfId="79" applyFill="1" applyBorder="1" applyAlignment="1">
      <alignment horizontal="center" vertical="center"/>
      <protection/>
    </xf>
    <xf numFmtId="0" fontId="8" fillId="33" borderId="29" xfId="79" applyFont="1" applyFill="1" applyBorder="1" applyAlignment="1">
      <alignment vertical="center"/>
      <protection/>
    </xf>
    <xf numFmtId="0" fontId="42" fillId="33" borderId="30" xfId="79" applyFill="1" applyBorder="1" applyAlignment="1">
      <alignment horizontal="center" vertical="center"/>
      <protection/>
    </xf>
    <xf numFmtId="0" fontId="42" fillId="33" borderId="13" xfId="79" applyFill="1" applyBorder="1" applyAlignment="1">
      <alignment horizontal="center" vertical="center"/>
      <protection/>
    </xf>
    <xf numFmtId="0" fontId="42" fillId="33" borderId="14" xfId="79" applyFill="1" applyBorder="1" applyAlignment="1">
      <alignment vertical="center"/>
      <protection/>
    </xf>
    <xf numFmtId="43" fontId="7" fillId="40" borderId="31" xfId="128" applyNumberFormat="1" applyFont="1" applyFill="1" applyBorder="1" applyAlignment="1">
      <alignment horizontal="center" vertical="center"/>
    </xf>
    <xf numFmtId="0" fontId="11" fillId="0" borderId="0" xfId="79" applyFont="1" applyAlignment="1">
      <alignment horizontal="justify" vertical="center"/>
      <protection/>
    </xf>
    <xf numFmtId="0" fontId="42" fillId="0" borderId="0" xfId="79" applyAlignment="1">
      <alignment vertical="center"/>
      <protection/>
    </xf>
    <xf numFmtId="0" fontId="13" fillId="0" borderId="34" xfId="79" applyFont="1" applyBorder="1" applyAlignment="1">
      <alignment horizontal="center" vertical="center" wrapText="1"/>
      <protection/>
    </xf>
    <xf numFmtId="0" fontId="12" fillId="0" borderId="35" xfId="79" applyFont="1" applyBorder="1" applyAlignment="1">
      <alignment horizontal="center" vertical="center" wrapText="1"/>
      <protection/>
    </xf>
    <xf numFmtId="0" fontId="12" fillId="0" borderId="36" xfId="79" applyFont="1" applyBorder="1" applyAlignment="1">
      <alignment vertical="center" wrapText="1"/>
      <protection/>
    </xf>
    <xf numFmtId="10" fontId="12" fillId="0" borderId="37" xfId="79" applyNumberFormat="1" applyFont="1" applyBorder="1" applyAlignment="1">
      <alignment horizontal="center" vertical="center" wrapText="1"/>
      <protection/>
    </xf>
    <xf numFmtId="0" fontId="42" fillId="33" borderId="38" xfId="79" applyFill="1" applyBorder="1" applyAlignment="1">
      <alignment vertical="center"/>
      <protection/>
    </xf>
    <xf numFmtId="0" fontId="42" fillId="33" borderId="39" xfId="79" applyFill="1" applyBorder="1" applyAlignment="1">
      <alignment horizontal="right" vertical="center"/>
      <protection/>
    </xf>
    <xf numFmtId="43" fontId="7" fillId="33" borderId="40" xfId="128" applyNumberFormat="1" applyFont="1" applyFill="1" applyBorder="1" applyAlignment="1">
      <alignment horizontal="center" vertical="center"/>
    </xf>
    <xf numFmtId="0" fontId="42" fillId="33" borderId="0" xfId="79" applyFill="1" applyAlignment="1">
      <alignment horizontal="center" vertical="center"/>
      <protection/>
    </xf>
    <xf numFmtId="0" fontId="42" fillId="33" borderId="38" xfId="79" applyFill="1" applyBorder="1" applyAlignment="1">
      <alignment horizontal="center" vertical="center"/>
      <protection/>
    </xf>
    <xf numFmtId="0" fontId="42" fillId="33" borderId="33" xfId="79" applyFill="1" applyBorder="1" applyAlignment="1" applyProtection="1">
      <alignment horizontal="center" vertical="center"/>
      <protection locked="0"/>
    </xf>
    <xf numFmtId="0" fontId="42" fillId="33" borderId="29" xfId="79" applyFill="1" applyBorder="1" applyAlignment="1" applyProtection="1">
      <alignment vertical="center"/>
      <protection locked="0"/>
    </xf>
    <xf numFmtId="43" fontId="42" fillId="33" borderId="30" xfId="79" applyNumberFormat="1" applyFill="1" applyBorder="1" applyAlignment="1" applyProtection="1">
      <alignment horizontal="center" vertical="center"/>
      <protection locked="0"/>
    </xf>
    <xf numFmtId="0" fontId="42" fillId="33" borderId="13" xfId="79" applyFill="1" applyBorder="1" applyAlignment="1" applyProtection="1">
      <alignment horizontal="center" vertical="center"/>
      <protection locked="0"/>
    </xf>
    <xf numFmtId="0" fontId="42" fillId="33" borderId="14" xfId="79" applyFill="1" applyBorder="1" applyAlignment="1" applyProtection="1">
      <alignment vertical="center"/>
      <protection locked="0"/>
    </xf>
    <xf numFmtId="43" fontId="8" fillId="33" borderId="31" xfId="128" applyNumberFormat="1" applyFont="1" applyFill="1" applyBorder="1" applyAlignment="1" applyProtection="1">
      <alignment horizontal="center" vertical="center"/>
      <protection locked="0"/>
    </xf>
    <xf numFmtId="43" fontId="42" fillId="33" borderId="0" xfId="79" applyNumberFormat="1" applyFill="1" applyAlignment="1">
      <alignment vertical="center"/>
      <protection/>
    </xf>
    <xf numFmtId="43" fontId="7" fillId="40" borderId="31" xfId="128" applyNumberFormat="1" applyFont="1" applyFill="1" applyBorder="1" applyAlignment="1" applyProtection="1">
      <alignment horizontal="center" vertical="center"/>
      <protection locked="0"/>
    </xf>
    <xf numFmtId="0" fontId="42" fillId="33" borderId="41" xfId="79" applyFill="1" applyBorder="1" applyAlignment="1" applyProtection="1">
      <alignment horizontal="center" vertical="center"/>
      <protection locked="0"/>
    </xf>
    <xf numFmtId="0" fontId="42" fillId="33" borderId="15" xfId="79" applyFill="1" applyBorder="1" applyAlignment="1" applyProtection="1">
      <alignment vertical="center"/>
      <protection locked="0"/>
    </xf>
    <xf numFmtId="43" fontId="7" fillId="40" borderId="42" xfId="128" applyNumberFormat="1" applyFont="1" applyFill="1" applyBorder="1" applyAlignment="1" applyProtection="1">
      <alignment horizontal="center" vertical="center"/>
      <protection locked="0"/>
    </xf>
    <xf numFmtId="0" fontId="42" fillId="33" borderId="38" xfId="79" applyFill="1" applyBorder="1" applyAlignment="1" applyProtection="1">
      <alignment horizontal="center" vertical="center"/>
      <protection locked="0"/>
    </xf>
    <xf numFmtId="0" fontId="8" fillId="33" borderId="39" xfId="79" applyFont="1" applyFill="1" applyBorder="1" applyAlignment="1" applyProtection="1">
      <alignment horizontal="right" vertical="center"/>
      <protection locked="0"/>
    </xf>
    <xf numFmtId="43" fontId="8" fillId="33" borderId="40" xfId="79" applyNumberFormat="1" applyFont="1" applyFill="1" applyBorder="1" applyAlignment="1" applyProtection="1">
      <alignment horizontal="center" vertical="center"/>
      <protection locked="0"/>
    </xf>
    <xf numFmtId="0" fontId="42" fillId="33" borderId="16" xfId="79" applyFill="1" applyBorder="1" applyAlignment="1">
      <alignment horizontal="right" vertical="center"/>
      <protection/>
    </xf>
    <xf numFmtId="10" fontId="8" fillId="33" borderId="0" xfId="79" applyNumberFormat="1" applyFont="1" applyFill="1" applyBorder="1" applyAlignment="1">
      <alignment horizontal="center" vertical="center"/>
      <protection/>
    </xf>
    <xf numFmtId="0" fontId="8" fillId="33" borderId="43" xfId="79" applyFont="1" applyFill="1" applyBorder="1" applyAlignment="1">
      <alignment vertical="center"/>
      <protection/>
    </xf>
    <xf numFmtId="0" fontId="7" fillId="33" borderId="44" xfId="79" applyFont="1" applyFill="1" applyBorder="1" applyAlignment="1">
      <alignment vertical="center"/>
      <protection/>
    </xf>
    <xf numFmtId="10" fontId="7" fillId="33" borderId="34" xfId="89" applyNumberFormat="1" applyFont="1" applyFill="1" applyBorder="1" applyAlignment="1">
      <alignment vertical="center"/>
    </xf>
    <xf numFmtId="10" fontId="42" fillId="33" borderId="0" xfId="79" applyNumberFormat="1" applyFill="1" applyAlignment="1">
      <alignment vertical="center"/>
      <protection/>
    </xf>
    <xf numFmtId="194" fontId="42" fillId="33" borderId="0" xfId="79" applyNumberFormat="1" applyFill="1" applyAlignment="1">
      <alignment vertical="center"/>
      <protection/>
    </xf>
    <xf numFmtId="194" fontId="42" fillId="33" borderId="0" xfId="79" applyNumberFormat="1" applyFill="1" applyAlignment="1">
      <alignment horizontal="center" vertical="center"/>
      <protection/>
    </xf>
    <xf numFmtId="0" fontId="13" fillId="0" borderId="36" xfId="79" applyFont="1" applyBorder="1" applyAlignment="1">
      <alignment horizontal="center" vertical="center" wrapText="1"/>
      <protection/>
    </xf>
    <xf numFmtId="0" fontId="12" fillId="0" borderId="37" xfId="79" applyFont="1" applyBorder="1" applyAlignment="1">
      <alignment horizontal="center" vertical="center" wrapText="1"/>
      <protection/>
    </xf>
    <xf numFmtId="43" fontId="0" fillId="33" borderId="0" xfId="64" applyNumberFormat="1" applyFill="1" applyAlignment="1">
      <alignment horizontal="center" vertical="center"/>
      <protection/>
    </xf>
    <xf numFmtId="10" fontId="62" fillId="33" borderId="0" xfId="79" applyNumberFormat="1" applyFont="1" applyFill="1" applyAlignment="1">
      <alignment vertical="center"/>
      <protection/>
    </xf>
    <xf numFmtId="0" fontId="14" fillId="0" borderId="29" xfId="64" applyFont="1" applyBorder="1" applyAlignment="1">
      <alignment horizontal="center" vertical="center" wrapText="1"/>
      <protection/>
    </xf>
    <xf numFmtId="43" fontId="14" fillId="0" borderId="45" xfId="61" applyNumberFormat="1" applyFont="1" applyBorder="1" applyAlignment="1">
      <alignment horizontal="right" vertical="center" wrapText="1"/>
      <protection/>
    </xf>
    <xf numFmtId="0" fontId="65" fillId="0" borderId="13" xfId="0" applyFont="1" applyBorder="1" applyAlignment="1">
      <alignment horizontal="center" vertical="center"/>
    </xf>
    <xf numFmtId="0" fontId="14" fillId="0" borderId="32" xfId="61" applyFont="1" applyBorder="1" applyAlignment="1">
      <alignment horizontal="center" vertical="center" wrapText="1"/>
      <protection/>
    </xf>
    <xf numFmtId="0" fontId="14" fillId="0" borderId="14" xfId="64" applyFont="1" applyBorder="1" applyAlignment="1">
      <alignment horizontal="left" vertical="center" wrapText="1"/>
      <protection/>
    </xf>
    <xf numFmtId="4" fontId="14" fillId="0" borderId="14" xfId="71" applyNumberFormat="1" applyFont="1" applyBorder="1" applyAlignment="1">
      <alignment horizontal="center" vertical="center" wrapText="1"/>
      <protection/>
    </xf>
    <xf numFmtId="4" fontId="14" fillId="0" borderId="31" xfId="71" applyNumberFormat="1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/>
      <protection/>
    </xf>
    <xf numFmtId="0" fontId="15" fillId="36" borderId="14" xfId="78" applyFont="1" applyFill="1" applyBorder="1" applyAlignment="1">
      <alignment vertical="center" wrapText="1"/>
      <protection/>
    </xf>
    <xf numFmtId="0" fontId="15" fillId="36" borderId="14" xfId="78" applyFont="1" applyFill="1" applyBorder="1" applyAlignment="1">
      <alignment horizontal="center" vertical="center" wrapText="1"/>
      <protection/>
    </xf>
    <xf numFmtId="0" fontId="16" fillId="36" borderId="14" xfId="78" applyFont="1" applyFill="1" applyBorder="1" applyAlignment="1">
      <alignment horizontal="center" vertical="center"/>
      <protection/>
    </xf>
    <xf numFmtId="0" fontId="15" fillId="36" borderId="14" xfId="78" applyFont="1" applyFill="1" applyBorder="1" applyAlignment="1">
      <alignment vertical="center"/>
      <protection/>
    </xf>
    <xf numFmtId="0" fontId="15" fillId="36" borderId="14" xfId="78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37" xfId="0" applyFont="1" applyBorder="1" applyAlignment="1">
      <alignment/>
    </xf>
    <xf numFmtId="0" fontId="63" fillId="0" borderId="0" xfId="62" applyFont="1">
      <alignment/>
      <protection/>
    </xf>
    <xf numFmtId="0" fontId="15" fillId="0" borderId="0" xfId="0" applyFont="1" applyAlignment="1">
      <alignment/>
    </xf>
    <xf numFmtId="0" fontId="65" fillId="39" borderId="14" xfId="62" applyFont="1" applyFill="1" applyBorder="1" applyAlignment="1">
      <alignment horizontal="center" vertical="center"/>
      <protection/>
    </xf>
    <xf numFmtId="0" fontId="65" fillId="39" borderId="14" xfId="62" applyFont="1" applyFill="1" applyBorder="1" applyAlignment="1">
      <alignment horizontal="center" vertical="center" wrapText="1"/>
      <protection/>
    </xf>
    <xf numFmtId="0" fontId="65" fillId="39" borderId="24" xfId="62" applyFont="1" applyFill="1" applyBorder="1" applyAlignment="1">
      <alignment horizontal="center" vertical="center"/>
      <protection/>
    </xf>
    <xf numFmtId="43" fontId="15" fillId="0" borderId="14" xfId="125" applyFont="1" applyFill="1" applyBorder="1" applyAlignment="1">
      <alignment vertical="center"/>
    </xf>
    <xf numFmtId="2" fontId="15" fillId="36" borderId="14" xfId="125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198" fontId="15" fillId="36" borderId="14" xfId="125" applyNumberFormat="1" applyFont="1" applyFill="1" applyBorder="1" applyAlignment="1">
      <alignment horizontal="center" vertical="center"/>
    </xf>
    <xf numFmtId="43" fontId="14" fillId="0" borderId="29" xfId="61" applyNumberFormat="1" applyFont="1" applyBorder="1" applyAlignment="1">
      <alignment horizontal="right" vertical="center" wrapText="1"/>
      <protection/>
    </xf>
    <xf numFmtId="43" fontId="14" fillId="0" borderId="30" xfId="61" applyNumberFormat="1" applyFont="1" applyBorder="1" applyAlignment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15" fillId="0" borderId="14" xfId="61" applyFont="1" applyBorder="1" applyAlignment="1">
      <alignment horizontal="center" vertical="center" wrapText="1"/>
      <protection/>
    </xf>
    <xf numFmtId="198" fontId="15" fillId="0" borderId="14" xfId="0" applyNumberFormat="1" applyFont="1" applyBorder="1" applyAlignment="1">
      <alignment horizontal="center" vertical="center"/>
    </xf>
    <xf numFmtId="43" fontId="15" fillId="0" borderId="14" xfId="69" applyNumberFormat="1" applyFont="1" applyBorder="1" applyAlignment="1">
      <alignment horizontal="center" vertical="center" wrapText="1"/>
      <protection/>
    </xf>
    <xf numFmtId="43" fontId="15" fillId="0" borderId="31" xfId="69" applyNumberFormat="1" applyFont="1" applyBorder="1" applyAlignment="1">
      <alignment horizontal="center" vertical="center" wrapText="1"/>
      <protection/>
    </xf>
    <xf numFmtId="43" fontId="15" fillId="0" borderId="31" xfId="61" applyNumberFormat="1" applyFont="1" applyBorder="1" applyAlignment="1">
      <alignment horizontal="right" vertical="top" wrapText="1"/>
      <protection/>
    </xf>
    <xf numFmtId="43" fontId="14" fillId="0" borderId="31" xfId="61" applyNumberFormat="1" applyFont="1" applyBorder="1" applyAlignment="1">
      <alignment horizontal="right" vertical="top" wrapText="1"/>
      <protection/>
    </xf>
    <xf numFmtId="2" fontId="15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2" fontId="16" fillId="0" borderId="14" xfId="15" applyNumberFormat="1" applyFont="1" applyBorder="1" applyAlignment="1">
      <alignment horizontal="center" vertical="center"/>
      <protection/>
    </xf>
    <xf numFmtId="172" fontId="15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172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justify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/>
    </xf>
    <xf numFmtId="0" fontId="17" fillId="0" borderId="14" xfId="68" applyFont="1" applyFill="1" applyBorder="1" applyAlignment="1">
      <alignment horizontal="center" vertical="center"/>
      <protection/>
    </xf>
    <xf numFmtId="0" fontId="17" fillId="0" borderId="14" xfId="68" applyFont="1" applyBorder="1" applyAlignment="1">
      <alignment horizontal="center" vertical="center"/>
      <protection/>
    </xf>
    <xf numFmtId="0" fontId="14" fillId="0" borderId="24" xfId="15" applyFont="1" applyBorder="1" applyAlignment="1">
      <alignment horizontal="right" vertical="center"/>
      <protection/>
    </xf>
    <xf numFmtId="169" fontId="14" fillId="0" borderId="15" xfId="15" applyNumberFormat="1" applyFont="1" applyBorder="1" applyAlignment="1">
      <alignment horizontal="center" vertical="center"/>
      <protection/>
    </xf>
    <xf numFmtId="0" fontId="17" fillId="37" borderId="47" xfId="68" applyFont="1" applyFill="1" applyBorder="1" applyAlignment="1">
      <alignment horizontal="center"/>
      <protection/>
    </xf>
    <xf numFmtId="169" fontId="14" fillId="0" borderId="14" xfId="15" applyNumberFormat="1" applyFont="1" applyBorder="1" applyAlignment="1">
      <alignment horizontal="center" vertical="center"/>
      <protection/>
    </xf>
    <xf numFmtId="169" fontId="15" fillId="0" borderId="14" xfId="117" applyNumberFormat="1" applyFont="1" applyFill="1" applyBorder="1" applyAlignment="1">
      <alignment horizontal="center" vertical="center"/>
    </xf>
    <xf numFmtId="10" fontId="15" fillId="0" borderId="14" xfId="82" applyNumberFormat="1" applyFont="1" applyFill="1" applyBorder="1" applyAlignment="1">
      <alignment horizontal="center" vertical="center"/>
    </xf>
    <xf numFmtId="169" fontId="15" fillId="0" borderId="14" xfId="82" applyNumberFormat="1" applyFont="1" applyFill="1" applyBorder="1" applyAlignment="1">
      <alignment horizontal="center" vertical="center"/>
    </xf>
    <xf numFmtId="0" fontId="14" fillId="0" borderId="14" xfId="15" applyFont="1" applyBorder="1" applyAlignment="1">
      <alignment vertical="center"/>
      <protection/>
    </xf>
    <xf numFmtId="10" fontId="14" fillId="0" borderId="14" xfId="82" applyNumberFormat="1" applyFont="1" applyFill="1" applyBorder="1" applyAlignment="1">
      <alignment horizontal="center" vertical="center"/>
    </xf>
    <xf numFmtId="10" fontId="17" fillId="0" borderId="14" xfId="68" applyNumberFormat="1" applyFont="1" applyBorder="1" applyAlignment="1">
      <alignment horizontal="center" vertical="center"/>
      <protection/>
    </xf>
    <xf numFmtId="174" fontId="15" fillId="6" borderId="14" xfId="117" applyNumberFormat="1" applyFont="1" applyFill="1" applyBorder="1" applyAlignment="1" applyProtection="1">
      <alignment horizontal="right" vertical="center" wrapText="1"/>
      <protection/>
    </xf>
    <xf numFmtId="174" fontId="15" fillId="0" borderId="14" xfId="117" applyNumberFormat="1" applyFont="1" applyFill="1" applyBorder="1" applyAlignment="1" applyProtection="1">
      <alignment horizontal="right" vertical="center" wrapText="1"/>
      <protection/>
    </xf>
    <xf numFmtId="2" fontId="63" fillId="0" borderId="48" xfId="117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left" wrapText="1"/>
    </xf>
    <xf numFmtId="49" fontId="63" fillId="0" borderId="14" xfId="0" applyNumberFormat="1" applyFont="1" applyBorder="1" applyAlignment="1">
      <alignment horizontal="center" vertical="center" wrapText="1"/>
    </xf>
    <xf numFmtId="0" fontId="14" fillId="0" borderId="14" xfId="61" applyFont="1" applyBorder="1" applyAlignment="1">
      <alignment horizontal="center" vertical="top" wrapText="1"/>
      <protection/>
    </xf>
    <xf numFmtId="0" fontId="15" fillId="0" borderId="14" xfId="69" applyFont="1" applyBorder="1" applyAlignment="1">
      <alignment horizontal="justify" vertical="center" wrapText="1"/>
      <protection/>
    </xf>
    <xf numFmtId="0" fontId="15" fillId="0" borderId="14" xfId="69" applyFont="1" applyBorder="1" applyAlignment="1">
      <alignment horizontal="center" vertical="center" wrapText="1"/>
      <protection/>
    </xf>
    <xf numFmtId="196" fontId="15" fillId="0" borderId="14" xfId="69" applyNumberFormat="1" applyFont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center" vertical="center" wrapText="1"/>
      <protection/>
    </xf>
    <xf numFmtId="0" fontId="15" fillId="0" borderId="0" xfId="61" applyFont="1" applyAlignment="1">
      <alignment horizontal="left" wrapText="1"/>
      <protection/>
    </xf>
    <xf numFmtId="49" fontId="15" fillId="0" borderId="13" xfId="61" applyNumberFormat="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49" fontId="15" fillId="0" borderId="13" xfId="68" applyNumberFormat="1" applyFont="1" applyBorder="1" applyAlignment="1">
      <alignment horizontal="center" vertical="center" wrapText="1"/>
      <protection/>
    </xf>
    <xf numFmtId="0" fontId="15" fillId="0" borderId="14" xfId="68" applyFont="1" applyBorder="1" applyAlignment="1">
      <alignment horizontal="center" vertical="center" wrapText="1"/>
      <protection/>
    </xf>
    <xf numFmtId="196" fontId="15" fillId="0" borderId="14" xfId="68" applyNumberFormat="1" applyFont="1" applyBorder="1" applyAlignment="1">
      <alignment horizontal="center" vertical="center" wrapText="1"/>
      <protection/>
    </xf>
    <xf numFmtId="0" fontId="16" fillId="0" borderId="28" xfId="61" applyFont="1" applyBorder="1">
      <alignment/>
      <protection/>
    </xf>
    <xf numFmtId="0" fontId="16" fillId="0" borderId="46" xfId="61" applyFont="1" applyBorder="1">
      <alignment/>
      <protection/>
    </xf>
    <xf numFmtId="195" fontId="16" fillId="0" borderId="46" xfId="61" applyNumberFormat="1" applyFont="1" applyBorder="1">
      <alignment/>
      <protection/>
    </xf>
    <xf numFmtId="43" fontId="16" fillId="0" borderId="46" xfId="61" applyNumberFormat="1" applyFont="1" applyBorder="1">
      <alignment/>
      <protection/>
    </xf>
    <xf numFmtId="43" fontId="16" fillId="0" borderId="37" xfId="61" applyNumberFormat="1" applyFont="1" applyBorder="1">
      <alignment/>
      <protection/>
    </xf>
    <xf numFmtId="2" fontId="65" fillId="37" borderId="14" xfId="117" applyNumberFormat="1" applyFont="1" applyFill="1" applyBorder="1" applyAlignment="1" applyProtection="1">
      <alignment horizontal="center" vertical="center" wrapText="1"/>
      <protection/>
    </xf>
    <xf numFmtId="174" fontId="65" fillId="0" borderId="48" xfId="117" applyNumberFormat="1" applyFont="1" applyFill="1" applyBorder="1" applyAlignment="1" applyProtection="1">
      <alignment vertical="center" wrapText="1"/>
      <protection/>
    </xf>
    <xf numFmtId="2" fontId="65" fillId="0" borderId="14" xfId="117" applyNumberFormat="1" applyFont="1" applyFill="1" applyBorder="1" applyAlignment="1" applyProtection="1">
      <alignment horizontal="center" vertical="center" wrapText="1"/>
      <protection/>
    </xf>
    <xf numFmtId="174" fontId="18" fillId="0" borderId="14" xfId="117" applyNumberFormat="1" applyFont="1" applyFill="1" applyBorder="1" applyAlignment="1" applyProtection="1">
      <alignment vertical="center" wrapText="1"/>
      <protection/>
    </xf>
    <xf numFmtId="174" fontId="19" fillId="0" borderId="14" xfId="117" applyNumberFormat="1" applyFont="1" applyFill="1" applyBorder="1" applyAlignment="1" applyProtection="1">
      <alignment horizontal="right" vertical="center" wrapText="1"/>
      <protection/>
    </xf>
    <xf numFmtId="2" fontId="16" fillId="36" borderId="14" xfId="15" applyNumberFormat="1" applyFont="1" applyFill="1" applyBorder="1" applyAlignment="1">
      <alignment horizontal="center" vertical="center"/>
      <protection/>
    </xf>
    <xf numFmtId="2" fontId="15" fillId="0" borderId="14" xfId="15" applyNumberFormat="1" applyFont="1" applyBorder="1" applyAlignment="1">
      <alignment horizontal="center" vertical="center"/>
      <protection/>
    </xf>
    <xf numFmtId="0" fontId="15" fillId="0" borderId="14" xfId="0" applyFont="1" applyBorder="1" applyAlignment="1">
      <alignment horizontal="justify" vertical="center" wrapText="1"/>
    </xf>
    <xf numFmtId="174" fontId="19" fillId="0" borderId="14" xfId="117" applyNumberFormat="1" applyFont="1" applyFill="1" applyBorder="1" applyAlignment="1" applyProtection="1">
      <alignment vertical="center" wrapText="1"/>
      <protection/>
    </xf>
    <xf numFmtId="174" fontId="19" fillId="0" borderId="48" xfId="117" applyNumberFormat="1" applyFont="1" applyFill="1" applyBorder="1" applyAlignment="1" applyProtection="1">
      <alignment horizontal="right" vertical="center" wrapText="1"/>
      <protection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2" fontId="64" fillId="0" borderId="14" xfId="0" applyNumberFormat="1" applyFont="1" applyBorder="1" applyAlignment="1">
      <alignment horizontal="center" vertical="center"/>
    </xf>
    <xf numFmtId="2" fontId="64" fillId="0" borderId="14" xfId="117" applyNumberFormat="1" applyFont="1" applyFill="1" applyBorder="1" applyAlignment="1">
      <alignment horizontal="center" vertical="center"/>
    </xf>
    <xf numFmtId="2" fontId="63" fillId="0" borderId="48" xfId="106" applyNumberFormat="1" applyFont="1" applyFill="1" applyBorder="1" applyAlignment="1">
      <alignment horizontal="center" vertical="center"/>
    </xf>
    <xf numFmtId="0" fontId="15" fillId="0" borderId="13" xfId="64" applyFont="1" applyBorder="1">
      <alignment/>
      <protection/>
    </xf>
    <xf numFmtId="172" fontId="15" fillId="36" borderId="14" xfId="125" applyNumberFormat="1" applyFont="1" applyFill="1" applyBorder="1" applyAlignment="1">
      <alignment horizontal="center" vertical="center"/>
    </xf>
    <xf numFmtId="43" fontId="15" fillId="0" borderId="31" xfId="125" applyFont="1" applyBorder="1" applyAlignment="1">
      <alignment horizontal="center" vertical="center"/>
    </xf>
    <xf numFmtId="0" fontId="15" fillId="0" borderId="28" xfId="61" applyFont="1" applyBorder="1" applyAlignment="1">
      <alignment horizontal="center" vertical="top"/>
      <protection/>
    </xf>
    <xf numFmtId="0" fontId="15" fillId="0" borderId="46" xfId="61" applyFont="1" applyBorder="1" applyAlignment="1">
      <alignment horizontal="center" vertical="top"/>
      <protection/>
    </xf>
    <xf numFmtId="0" fontId="15" fillId="0" borderId="37" xfId="61" applyFont="1" applyBorder="1" applyAlignment="1">
      <alignment horizontal="center" vertical="top"/>
      <protection/>
    </xf>
    <xf numFmtId="0" fontId="65" fillId="39" borderId="14" xfId="73" applyFont="1" applyFill="1" applyBorder="1" applyAlignment="1">
      <alignment horizontal="center" vertical="center"/>
      <protection/>
    </xf>
    <xf numFmtId="0" fontId="65" fillId="39" borderId="24" xfId="73" applyFont="1" applyFill="1" applyBorder="1" applyAlignment="1">
      <alignment horizontal="center" vertical="center"/>
      <protection/>
    </xf>
    <xf numFmtId="0" fontId="63" fillId="0" borderId="14" xfId="73" applyFont="1" applyBorder="1" applyAlignment="1">
      <alignment vertical="center"/>
      <protection/>
    </xf>
    <xf numFmtId="0" fontId="63" fillId="0" borderId="14" xfId="72" applyFont="1" applyBorder="1" applyAlignment="1">
      <alignment vertical="center"/>
      <protection/>
    </xf>
    <xf numFmtId="0" fontId="63" fillId="0" borderId="14" xfId="72" applyFont="1" applyBorder="1" applyAlignment="1">
      <alignment horizontal="center" vertical="center" wrapText="1"/>
      <protection/>
    </xf>
    <xf numFmtId="0" fontId="67" fillId="0" borderId="14" xfId="51" applyFont="1" applyFill="1" applyBorder="1" applyAlignment="1">
      <alignment vertical="center"/>
    </xf>
    <xf numFmtId="14" fontId="63" fillId="0" borderId="14" xfId="72" applyNumberFormat="1" applyFont="1" applyBorder="1" applyAlignment="1">
      <alignment horizontal="center" vertical="center"/>
      <protection/>
    </xf>
    <xf numFmtId="191" fontId="63" fillId="0" borderId="14" xfId="57" applyFont="1" applyFill="1" applyBorder="1" applyAlignment="1">
      <alignment vertical="center"/>
    </xf>
    <xf numFmtId="0" fontId="63" fillId="0" borderId="14" xfId="72" applyFont="1" applyBorder="1" applyAlignment="1">
      <alignment vertical="center" wrapText="1"/>
      <protection/>
    </xf>
    <xf numFmtId="0" fontId="63" fillId="0" borderId="14" xfId="72" applyFont="1" applyBorder="1" applyAlignment="1">
      <alignment horizontal="center" vertical="center"/>
      <protection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36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63" fillId="36" borderId="14" xfId="62" applyFont="1" applyFill="1" applyBorder="1" applyAlignment="1">
      <alignment vertical="center" wrapText="1"/>
      <protection/>
    </xf>
    <xf numFmtId="0" fontId="21" fillId="36" borderId="14" xfId="52" applyFont="1" applyFill="1" applyBorder="1" applyAlignment="1">
      <alignment vertical="center" wrapText="1"/>
    </xf>
    <xf numFmtId="14" fontId="63" fillId="36" borderId="14" xfId="62" applyNumberFormat="1" applyFont="1" applyFill="1" applyBorder="1" applyAlignment="1">
      <alignment vertical="center" wrapText="1"/>
      <protection/>
    </xf>
    <xf numFmtId="169" fontId="63" fillId="36" borderId="14" xfId="58" applyFont="1" applyFill="1" applyBorder="1" applyAlignment="1">
      <alignment vertical="center" wrapText="1"/>
    </xf>
    <xf numFmtId="0" fontId="15" fillId="36" borderId="0" xfId="0" applyFont="1" applyFill="1" applyAlignment="1">
      <alignment/>
    </xf>
    <xf numFmtId="0" fontId="65" fillId="36" borderId="14" xfId="62" applyFont="1" applyFill="1" applyBorder="1" applyAlignment="1">
      <alignment horizontal="center" vertical="center"/>
      <protection/>
    </xf>
    <xf numFmtId="0" fontId="65" fillId="36" borderId="14" xfId="62" applyFont="1" applyFill="1" applyBorder="1" applyAlignment="1">
      <alignment horizontal="center" vertical="center" wrapText="1"/>
      <protection/>
    </xf>
    <xf numFmtId="0" fontId="65" fillId="36" borderId="24" xfId="62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vertical="justify"/>
    </xf>
    <xf numFmtId="0" fontId="21" fillId="0" borderId="14" xfId="52" applyFont="1" applyFill="1" applyBorder="1" applyAlignment="1">
      <alignment/>
    </xf>
    <xf numFmtId="14" fontId="15" fillId="0" borderId="14" xfId="0" applyNumberFormat="1" applyFont="1" applyFill="1" applyBorder="1" applyAlignment="1">
      <alignment/>
    </xf>
    <xf numFmtId="169" fontId="15" fillId="0" borderId="14" xfId="58" applyFont="1" applyFill="1" applyBorder="1" applyAlignment="1">
      <alignment/>
    </xf>
    <xf numFmtId="0" fontId="67" fillId="0" borderId="14" xfId="52" applyFont="1" applyFill="1" applyBorder="1" applyAlignment="1">
      <alignment/>
    </xf>
    <xf numFmtId="0" fontId="63" fillId="0" borderId="14" xfId="62" applyFont="1" applyFill="1" applyBorder="1" applyAlignment="1">
      <alignment vertical="center" wrapText="1"/>
      <protection/>
    </xf>
    <xf numFmtId="0" fontId="21" fillId="0" borderId="14" xfId="52" applyFont="1" applyFill="1" applyBorder="1" applyAlignment="1">
      <alignment vertical="center" wrapText="1"/>
    </xf>
    <xf numFmtId="14" fontId="63" fillId="0" borderId="14" xfId="62" applyNumberFormat="1" applyFont="1" applyFill="1" applyBorder="1" applyAlignment="1">
      <alignment vertical="center" wrapText="1"/>
      <protection/>
    </xf>
    <xf numFmtId="169" fontId="63" fillId="0" borderId="14" xfId="58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4" fontId="15" fillId="0" borderId="14" xfId="71" applyNumberFormat="1" applyFont="1" applyFill="1" applyBorder="1" applyAlignment="1">
      <alignment horizontal="center" vertical="center" wrapText="1"/>
      <protection/>
    </xf>
    <xf numFmtId="0" fontId="17" fillId="39" borderId="49" xfId="68" applyFont="1" applyFill="1" applyBorder="1" applyAlignment="1">
      <alignment horizontal="center"/>
      <protection/>
    </xf>
    <xf numFmtId="0" fontId="17" fillId="39" borderId="11" xfId="68" applyFont="1" applyFill="1" applyBorder="1" applyAlignment="1">
      <alignment horizontal="center"/>
      <protection/>
    </xf>
    <xf numFmtId="0" fontId="17" fillId="39" borderId="50" xfId="68" applyFont="1" applyFill="1" applyBorder="1" applyAlignment="1">
      <alignment horizontal="center"/>
      <protection/>
    </xf>
    <xf numFmtId="0" fontId="17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0" fontId="14" fillId="0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justify"/>
    </xf>
    <xf numFmtId="0" fontId="14" fillId="36" borderId="0" xfId="0" applyFont="1" applyFill="1" applyBorder="1" applyAlignment="1">
      <alignment horizontal="center" vertical="justify"/>
    </xf>
    <xf numFmtId="0" fontId="16" fillId="0" borderId="15" xfId="15" applyFont="1" applyFill="1" applyBorder="1" applyAlignment="1">
      <alignment horizontal="center" vertical="center"/>
      <protection/>
    </xf>
    <xf numFmtId="0" fontId="17" fillId="8" borderId="24" xfId="15" applyFont="1" applyFill="1" applyBorder="1" applyAlignment="1">
      <alignment horizontal="center" vertical="center"/>
      <protection/>
    </xf>
    <xf numFmtId="0" fontId="17" fillId="8" borderId="51" xfId="15" applyFont="1" applyFill="1" applyBorder="1" applyAlignment="1">
      <alignment horizontal="center" vertical="center"/>
      <protection/>
    </xf>
    <xf numFmtId="0" fontId="17" fillId="8" borderId="32" xfId="15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6" fillId="0" borderId="27" xfId="61" applyFont="1" applyBorder="1" applyAlignment="1">
      <alignment horizontal="left" vertical="top" wrapText="1"/>
      <protection/>
    </xf>
    <xf numFmtId="0" fontId="16" fillId="0" borderId="0" xfId="61" applyFont="1" applyAlignment="1">
      <alignment horizontal="left" vertical="top" wrapText="1"/>
      <protection/>
    </xf>
    <xf numFmtId="0" fontId="16" fillId="0" borderId="52" xfId="61" applyFont="1" applyBorder="1" applyAlignment="1">
      <alignment horizontal="left" vertical="top" wrapText="1"/>
      <protection/>
    </xf>
    <xf numFmtId="0" fontId="63" fillId="0" borderId="27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3" fillId="0" borderId="52" xfId="0" applyFont="1" applyBorder="1" applyAlignment="1">
      <alignment horizontal="left" wrapText="1"/>
    </xf>
    <xf numFmtId="0" fontId="16" fillId="0" borderId="28" xfId="61" applyFont="1" applyBorder="1" applyAlignment="1">
      <alignment horizontal="left" vertical="center"/>
      <protection/>
    </xf>
    <xf numFmtId="0" fontId="16" fillId="0" borderId="46" xfId="61" applyFont="1" applyBorder="1" applyAlignment="1">
      <alignment horizontal="left" vertical="center"/>
      <protection/>
    </xf>
    <xf numFmtId="0" fontId="16" fillId="0" borderId="37" xfId="61" applyFont="1" applyBorder="1" applyAlignment="1">
      <alignment horizontal="left" vertical="center"/>
      <protection/>
    </xf>
    <xf numFmtId="0" fontId="14" fillId="0" borderId="33" xfId="61" applyFont="1" applyBorder="1" applyAlignment="1">
      <alignment horizontal="center" vertical="center" wrapText="1"/>
      <protection/>
    </xf>
    <xf numFmtId="0" fontId="14" fillId="0" borderId="29" xfId="61" applyFont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right" vertical="top" wrapText="1"/>
      <protection/>
    </xf>
    <xf numFmtId="0" fontId="15" fillId="0" borderId="14" xfId="61" applyFont="1" applyBorder="1" applyAlignment="1">
      <alignment horizontal="right" vertical="top" wrapText="1"/>
      <protection/>
    </xf>
    <xf numFmtId="0" fontId="14" fillId="0" borderId="13" xfId="61" applyFont="1" applyBorder="1" applyAlignment="1">
      <alignment horizontal="right" vertical="top" wrapText="1"/>
      <protection/>
    </xf>
    <xf numFmtId="0" fontId="14" fillId="0" borderId="14" xfId="61" applyFont="1" applyBorder="1" applyAlignment="1">
      <alignment horizontal="right" vertical="top" wrapText="1"/>
      <protection/>
    </xf>
    <xf numFmtId="0" fontId="63" fillId="0" borderId="13" xfId="0" applyFont="1" applyBorder="1" applyAlignment="1">
      <alignment horizontal="right" wrapText="1"/>
    </xf>
    <xf numFmtId="0" fontId="63" fillId="0" borderId="14" xfId="0" applyFont="1" applyBorder="1" applyAlignment="1">
      <alignment horizontal="right" wrapText="1"/>
    </xf>
    <xf numFmtId="0" fontId="63" fillId="0" borderId="31" xfId="0" applyFont="1" applyBorder="1" applyAlignment="1">
      <alignment horizontal="right" wrapText="1"/>
    </xf>
    <xf numFmtId="0" fontId="15" fillId="0" borderId="27" xfId="61" applyFont="1" applyBorder="1" applyAlignment="1">
      <alignment horizontal="left" wrapText="1"/>
      <protection/>
    </xf>
    <xf numFmtId="0" fontId="15" fillId="0" borderId="0" xfId="61" applyFont="1" applyAlignment="1">
      <alignment horizontal="left" wrapText="1"/>
      <protection/>
    </xf>
    <xf numFmtId="0" fontId="15" fillId="0" borderId="52" xfId="61" applyFont="1" applyBorder="1" applyAlignment="1">
      <alignment horizontal="left" wrapText="1"/>
      <protection/>
    </xf>
    <xf numFmtId="0" fontId="16" fillId="0" borderId="27" xfId="61" applyFont="1" applyBorder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6" fillId="0" borderId="52" xfId="61" applyFont="1" applyBorder="1" applyAlignment="1">
      <alignment horizontal="left" vertical="center"/>
      <protection/>
    </xf>
    <xf numFmtId="0" fontId="15" fillId="0" borderId="13" xfId="61" applyFont="1" applyBorder="1" applyAlignment="1">
      <alignment horizontal="right" wrapText="1"/>
      <protection/>
    </xf>
    <xf numFmtId="0" fontId="15" fillId="0" borderId="14" xfId="61" applyFont="1" applyBorder="1" applyAlignment="1">
      <alignment horizontal="right" wrapText="1"/>
      <protection/>
    </xf>
    <xf numFmtId="0" fontId="15" fillId="0" borderId="31" xfId="61" applyFont="1" applyBorder="1" applyAlignment="1">
      <alignment horizontal="right" wrapText="1"/>
      <protection/>
    </xf>
    <xf numFmtId="49" fontId="15" fillId="0" borderId="53" xfId="69" applyNumberFormat="1" applyFont="1" applyBorder="1" applyAlignment="1">
      <alignment horizontal="center" vertical="center" wrapText="1"/>
      <protection/>
    </xf>
    <xf numFmtId="49" fontId="15" fillId="0" borderId="32" xfId="69" applyNumberFormat="1" applyFont="1" applyBorder="1" applyAlignment="1">
      <alignment horizontal="center" vertical="center" wrapText="1"/>
      <protection/>
    </xf>
    <xf numFmtId="0" fontId="15" fillId="0" borderId="53" xfId="61" applyFont="1" applyBorder="1" applyAlignment="1">
      <alignment horizontal="center" vertical="center" wrapText="1"/>
      <protection/>
    </xf>
    <xf numFmtId="0" fontId="15" fillId="0" borderId="32" xfId="61" applyFont="1" applyBorder="1" applyAlignment="1">
      <alignment horizontal="center" vertical="center" wrapText="1"/>
      <protection/>
    </xf>
    <xf numFmtId="0" fontId="16" fillId="0" borderId="27" xfId="61" applyFont="1" applyBorder="1" applyAlignment="1">
      <alignment horizontal="left" vertical="top"/>
      <protection/>
    </xf>
    <xf numFmtId="0" fontId="16" fillId="0" borderId="0" xfId="61" applyFont="1" applyBorder="1" applyAlignment="1">
      <alignment horizontal="left" vertical="top"/>
      <protection/>
    </xf>
    <xf numFmtId="0" fontId="16" fillId="0" borderId="52" xfId="61" applyFont="1" applyBorder="1" applyAlignment="1">
      <alignment horizontal="left" vertical="top"/>
      <protection/>
    </xf>
    <xf numFmtId="0" fontId="14" fillId="0" borderId="54" xfId="61" applyFont="1" applyFill="1" applyBorder="1" applyAlignment="1">
      <alignment horizontal="center" vertical="center" wrapText="1"/>
      <protection/>
    </xf>
    <xf numFmtId="0" fontId="14" fillId="0" borderId="55" xfId="61" applyFont="1" applyFill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right" vertical="top"/>
      <protection/>
    </xf>
    <xf numFmtId="0" fontId="15" fillId="0" borderId="14" xfId="61" applyFont="1" applyBorder="1" applyAlignment="1">
      <alignment horizontal="right" vertical="top"/>
      <protection/>
    </xf>
    <xf numFmtId="0" fontId="14" fillId="0" borderId="13" xfId="61" applyFont="1" applyBorder="1" applyAlignment="1">
      <alignment horizontal="right" vertical="top"/>
      <protection/>
    </xf>
    <xf numFmtId="0" fontId="14" fillId="0" borderId="14" xfId="61" applyFont="1" applyBorder="1" applyAlignment="1">
      <alignment horizontal="right" vertical="top"/>
      <protection/>
    </xf>
    <xf numFmtId="0" fontId="16" fillId="0" borderId="0" xfId="61" applyFont="1" applyBorder="1" applyAlignment="1">
      <alignment horizontal="left" vertical="top" wrapText="1"/>
      <protection/>
    </xf>
    <xf numFmtId="0" fontId="15" fillId="0" borderId="27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5" fillId="0" borderId="52" xfId="64" applyFont="1" applyBorder="1" applyAlignment="1">
      <alignment horizontal="left"/>
      <protection/>
    </xf>
    <xf numFmtId="0" fontId="16" fillId="0" borderId="27" xfId="6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16" fillId="0" borderId="52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5" fillId="0" borderId="56" xfId="61" applyFont="1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0" fontId="15" fillId="0" borderId="57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15" fillId="0" borderId="0" xfId="61" applyFont="1" applyBorder="1" applyAlignment="1">
      <alignment horizontal="left" wrapText="1"/>
      <protection/>
    </xf>
    <xf numFmtId="0" fontId="14" fillId="0" borderId="54" xfId="61" applyFont="1" applyBorder="1" applyAlignment="1">
      <alignment horizontal="center" vertical="center" wrapText="1"/>
      <protection/>
    </xf>
    <xf numFmtId="0" fontId="14" fillId="0" borderId="55" xfId="61" applyFont="1" applyBorder="1" applyAlignment="1">
      <alignment horizontal="center" vertical="center" wrapText="1"/>
      <protection/>
    </xf>
    <xf numFmtId="0" fontId="17" fillId="37" borderId="24" xfId="68" applyFont="1" applyFill="1" applyBorder="1" applyAlignment="1">
      <alignment horizontal="center"/>
      <protection/>
    </xf>
    <xf numFmtId="0" fontId="17" fillId="37" borderId="51" xfId="68" applyFont="1" applyFill="1" applyBorder="1" applyAlignment="1">
      <alignment horizontal="center"/>
      <protection/>
    </xf>
    <xf numFmtId="0" fontId="17" fillId="0" borderId="58" xfId="63" applyFont="1" applyFill="1" applyBorder="1" applyAlignment="1">
      <alignment horizontal="center" vertical="center" wrapText="1"/>
      <protection/>
    </xf>
    <xf numFmtId="0" fontId="17" fillId="0" borderId="59" xfId="63" applyFont="1" applyFill="1" applyBorder="1" applyAlignment="1">
      <alignment horizontal="center" vertical="center" wrapText="1"/>
      <protection/>
    </xf>
    <xf numFmtId="0" fontId="17" fillId="0" borderId="54" xfId="63" applyFont="1" applyFill="1" applyBorder="1" applyAlignment="1">
      <alignment horizontal="left" vertical="center" wrapText="1"/>
      <protection/>
    </xf>
    <xf numFmtId="0" fontId="17" fillId="0" borderId="60" xfId="63" applyFont="1" applyFill="1" applyBorder="1" applyAlignment="1">
      <alignment horizontal="left" vertical="center" wrapText="1"/>
      <protection/>
    </xf>
    <xf numFmtId="0" fontId="17" fillId="36" borderId="58" xfId="63" applyFont="1" applyFill="1" applyBorder="1" applyAlignment="1">
      <alignment horizontal="center"/>
      <protection/>
    </xf>
    <xf numFmtId="0" fontId="17" fillId="36" borderId="59" xfId="63" applyFont="1" applyFill="1" applyBorder="1" applyAlignment="1">
      <alignment horizontal="center"/>
      <protection/>
    </xf>
    <xf numFmtId="0" fontId="17" fillId="41" borderId="53" xfId="63" applyFont="1" applyFill="1" applyBorder="1" applyAlignment="1">
      <alignment horizontal="left" vertical="top" wrapText="1"/>
      <protection/>
    </xf>
    <xf numFmtId="0" fontId="17" fillId="41" borderId="51" xfId="63" applyFont="1" applyFill="1" applyBorder="1" applyAlignment="1">
      <alignment horizontal="left" vertical="top" wrapText="1"/>
      <protection/>
    </xf>
    <xf numFmtId="0" fontId="17" fillId="41" borderId="61" xfId="63" applyFont="1" applyFill="1" applyBorder="1" applyAlignment="1">
      <alignment horizontal="left" vertical="center"/>
      <protection/>
    </xf>
    <xf numFmtId="0" fontId="16" fillId="41" borderId="62" xfId="63" applyFont="1" applyFill="1" applyBorder="1" applyAlignment="1">
      <alignment horizontal="left" vertical="center"/>
      <protection/>
    </xf>
    <xf numFmtId="0" fontId="16" fillId="41" borderId="63" xfId="63" applyFont="1" applyFill="1" applyBorder="1" applyAlignment="1">
      <alignment horizontal="left" vertical="center"/>
      <protection/>
    </xf>
    <xf numFmtId="0" fontId="16" fillId="41" borderId="0" xfId="63" applyFont="1" applyFill="1" applyBorder="1" applyAlignment="1">
      <alignment horizontal="left" vertical="center"/>
      <protection/>
    </xf>
    <xf numFmtId="0" fontId="42" fillId="33" borderId="0" xfId="79" applyFill="1" applyBorder="1" applyAlignment="1">
      <alignment horizontal="center" vertical="center"/>
      <protection/>
    </xf>
    <xf numFmtId="0" fontId="42" fillId="33" borderId="0" xfId="79" applyFont="1" applyFill="1" applyBorder="1" applyAlignment="1">
      <alignment horizontal="left" wrapText="1"/>
      <protection/>
    </xf>
    <xf numFmtId="0" fontId="12" fillId="0" borderId="46" xfId="79" applyFont="1" applyBorder="1" applyAlignment="1">
      <alignment horizontal="justify" vertical="center"/>
      <protection/>
    </xf>
    <xf numFmtId="0" fontId="42" fillId="0" borderId="46" xfId="79" applyBorder="1" applyAlignment="1">
      <alignment vertical="center"/>
      <protection/>
    </xf>
    <xf numFmtId="0" fontId="12" fillId="0" borderId="64" xfId="79" applyFont="1" applyBorder="1" applyAlignment="1">
      <alignment horizontal="center" vertical="center" wrapText="1"/>
      <protection/>
    </xf>
    <xf numFmtId="0" fontId="12" fillId="0" borderId="65" xfId="79" applyFont="1" applyBorder="1" applyAlignment="1">
      <alignment horizontal="center" vertical="center" wrapText="1"/>
      <protection/>
    </xf>
    <xf numFmtId="0" fontId="12" fillId="0" borderId="35" xfId="79" applyFont="1" applyBorder="1" applyAlignment="1">
      <alignment horizontal="center" vertical="center" wrapText="1"/>
      <protection/>
    </xf>
    <xf numFmtId="0" fontId="42" fillId="33" borderId="0" xfId="79" applyFill="1" applyAlignment="1">
      <alignment horizontal="left" vertical="center"/>
      <protection/>
    </xf>
    <xf numFmtId="0" fontId="12" fillId="0" borderId="66" xfId="79" applyFont="1" applyBorder="1" applyAlignment="1">
      <alignment horizontal="justify" vertical="center"/>
      <protection/>
    </xf>
    <xf numFmtId="0" fontId="13" fillId="0" borderId="64" xfId="79" applyFont="1" applyBorder="1" applyAlignment="1">
      <alignment horizontal="center" vertical="center" wrapText="1"/>
      <protection/>
    </xf>
    <xf numFmtId="0" fontId="13" fillId="0" borderId="65" xfId="79" applyFont="1" applyBorder="1" applyAlignment="1">
      <alignment horizontal="center" vertical="center" wrapText="1"/>
      <protection/>
    </xf>
    <xf numFmtId="0" fontId="13" fillId="0" borderId="35" xfId="79" applyFont="1" applyBorder="1" applyAlignment="1">
      <alignment horizontal="center" vertical="center" wrapText="1"/>
      <protection/>
    </xf>
    <xf numFmtId="0" fontId="42" fillId="33" borderId="0" xfId="79" applyFill="1" applyBorder="1" applyAlignment="1">
      <alignment horizontal="left" wrapText="1"/>
      <protection/>
    </xf>
    <xf numFmtId="0" fontId="9" fillId="23" borderId="14" xfId="79" applyFont="1" applyFill="1" applyBorder="1" applyAlignment="1">
      <alignment horizontal="center" vertical="center"/>
      <protection/>
    </xf>
    <xf numFmtId="0" fontId="11" fillId="0" borderId="66" xfId="79" applyFont="1" applyBorder="1" applyAlignment="1">
      <alignment horizontal="justify" vertical="center"/>
      <protection/>
    </xf>
    <xf numFmtId="0" fontId="65" fillId="0" borderId="15" xfId="73" applyFont="1" applyBorder="1" applyAlignment="1">
      <alignment horizontal="center" vertical="center" wrapText="1"/>
      <protection/>
    </xf>
    <xf numFmtId="0" fontId="65" fillId="0" borderId="57" xfId="73" applyFont="1" applyBorder="1" applyAlignment="1">
      <alignment horizontal="center" vertical="center" wrapText="1"/>
      <protection/>
    </xf>
    <xf numFmtId="0" fontId="65" fillId="0" borderId="48" xfId="73" applyFont="1" applyBorder="1" applyAlignment="1">
      <alignment horizontal="center" vertical="center" wrapText="1"/>
      <protection/>
    </xf>
    <xf numFmtId="169" fontId="65" fillId="0" borderId="15" xfId="73" applyNumberFormat="1" applyFont="1" applyBorder="1" applyAlignment="1">
      <alignment horizontal="center" vertical="center"/>
      <protection/>
    </xf>
    <xf numFmtId="169" fontId="65" fillId="0" borderId="57" xfId="73" applyNumberFormat="1" applyFont="1" applyBorder="1" applyAlignment="1">
      <alignment horizontal="center" vertical="center"/>
      <protection/>
    </xf>
    <xf numFmtId="169" fontId="65" fillId="0" borderId="48" xfId="73" applyNumberFormat="1" applyFont="1" applyBorder="1" applyAlignment="1">
      <alignment horizontal="center" vertical="center"/>
      <protection/>
    </xf>
    <xf numFmtId="0" fontId="65" fillId="39" borderId="0" xfId="62" applyFont="1" applyFill="1" applyAlignment="1">
      <alignment horizontal="center"/>
      <protection/>
    </xf>
    <xf numFmtId="0" fontId="65" fillId="36" borderId="15" xfId="62" applyFont="1" applyFill="1" applyBorder="1" applyAlignment="1">
      <alignment vertical="center" wrapText="1"/>
      <protection/>
    </xf>
    <xf numFmtId="0" fontId="65" fillId="36" borderId="57" xfId="62" applyFont="1" applyFill="1" applyBorder="1" applyAlignment="1">
      <alignment vertical="center" wrapText="1"/>
      <protection/>
    </xf>
    <xf numFmtId="0" fontId="65" fillId="36" borderId="48" xfId="62" applyFont="1" applyFill="1" applyBorder="1" applyAlignment="1">
      <alignment vertical="center" wrapText="1"/>
      <protection/>
    </xf>
    <xf numFmtId="169" fontId="65" fillId="0" borderId="15" xfId="62" applyNumberFormat="1" applyFont="1" applyBorder="1" applyAlignment="1">
      <alignment horizontal="center" vertical="center"/>
      <protection/>
    </xf>
    <xf numFmtId="169" fontId="65" fillId="0" borderId="57" xfId="62" applyNumberFormat="1" applyFont="1" applyBorder="1" applyAlignment="1">
      <alignment horizontal="center" vertical="center"/>
      <protection/>
    </xf>
    <xf numFmtId="169" fontId="65" fillId="0" borderId="48" xfId="62" applyNumberFormat="1" applyFont="1" applyBorder="1" applyAlignment="1">
      <alignment horizontal="center" vertical="center"/>
      <protection/>
    </xf>
    <xf numFmtId="0" fontId="65" fillId="0" borderId="15" xfId="62" applyFont="1" applyFill="1" applyBorder="1" applyAlignment="1">
      <alignment vertical="center" wrapText="1"/>
      <protection/>
    </xf>
    <xf numFmtId="0" fontId="65" fillId="0" borderId="57" xfId="62" applyFont="1" applyFill="1" applyBorder="1" applyAlignment="1">
      <alignment vertical="center" wrapText="1"/>
      <protection/>
    </xf>
    <xf numFmtId="0" fontId="65" fillId="0" borderId="48" xfId="62" applyFont="1" applyFill="1" applyBorder="1" applyAlignment="1">
      <alignment vertical="center" wrapText="1"/>
      <protection/>
    </xf>
    <xf numFmtId="169" fontId="65" fillId="0" borderId="15" xfId="62" applyNumberFormat="1" applyFont="1" applyFill="1" applyBorder="1" applyAlignment="1">
      <alignment horizontal="center" vertical="center"/>
      <protection/>
    </xf>
    <xf numFmtId="169" fontId="65" fillId="0" borderId="57" xfId="62" applyNumberFormat="1" applyFont="1" applyFill="1" applyBorder="1" applyAlignment="1">
      <alignment horizontal="center" vertical="center"/>
      <protection/>
    </xf>
    <xf numFmtId="169" fontId="65" fillId="0" borderId="48" xfId="62" applyNumberFormat="1" applyFont="1" applyFill="1" applyBorder="1" applyAlignment="1">
      <alignment horizontal="center" vertical="center"/>
      <protection/>
    </xf>
  </cellXfs>
  <cellStyles count="116">
    <cellStyle name="Normal" xfId="0"/>
    <cellStyle name="0,0&#13;&#10;NA&#13;&#10;" xfId="15"/>
    <cellStyle name="0,0&#13;&#10;NA&#13;&#10; 2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_BuiltIn_Comma 1" xfId="46"/>
    <cellStyle name="Heading" xfId="47"/>
    <cellStyle name="Heading 1" xfId="48"/>
    <cellStyle name="Heading1" xfId="49"/>
    <cellStyle name="Heading1 1" xfId="50"/>
    <cellStyle name="Hyperlink" xfId="51"/>
    <cellStyle name="Hiperlink 2" xfId="52"/>
    <cellStyle name="Followed Hyperlink" xfId="53"/>
    <cellStyle name="Incorreto" xfId="54"/>
    <cellStyle name="Currency" xfId="55"/>
    <cellStyle name="Currency [0]" xfId="56"/>
    <cellStyle name="Moeda 2" xfId="57"/>
    <cellStyle name="Moeda 5" xfId="58"/>
    <cellStyle name="Moeda 7" xfId="59"/>
    <cellStyle name="Neutra" xfId="60"/>
    <cellStyle name="Normal 10" xfId="61"/>
    <cellStyle name="Normal 12" xfId="62"/>
    <cellStyle name="Normal 2" xfId="63"/>
    <cellStyle name="Normal 2 2" xfId="64"/>
    <cellStyle name="Normal 2 2 2" xfId="65"/>
    <cellStyle name="Normal 2 2 2 2" xfId="66"/>
    <cellStyle name="Normal 2 3" xfId="67"/>
    <cellStyle name="Normal 2 3 2" xfId="68"/>
    <cellStyle name="Normal 2 3 2 2 6" xfId="69"/>
    <cellStyle name="Normal 2 4" xfId="70"/>
    <cellStyle name="Normal 3" xfId="71"/>
    <cellStyle name="Normal 3 2" xfId="72"/>
    <cellStyle name="Normal 3 3" xfId="73"/>
    <cellStyle name="Normal 4" xfId="74"/>
    <cellStyle name="Normal 4 2 2" xfId="75"/>
    <cellStyle name="Normal 5" xfId="76"/>
    <cellStyle name="Normal 6" xfId="77"/>
    <cellStyle name="Normal 6 2" xfId="78"/>
    <cellStyle name="Normal 7" xfId="79"/>
    <cellStyle name="Normal 9" xfId="80"/>
    <cellStyle name="Nota" xfId="81"/>
    <cellStyle name="Percent" xfId="82"/>
    <cellStyle name="Porcentagem 2" xfId="83"/>
    <cellStyle name="Porcentagem 2 2" xfId="84"/>
    <cellStyle name="Porcentagem 2 2 2" xfId="85"/>
    <cellStyle name="Porcentagem 2 3" xfId="86"/>
    <cellStyle name="Porcentagem 3" xfId="87"/>
    <cellStyle name="Porcentagem 4" xfId="88"/>
    <cellStyle name="Porcentagem 5" xfId="89"/>
    <cellStyle name="Result" xfId="90"/>
    <cellStyle name="Result 1" xfId="91"/>
    <cellStyle name="Result2" xfId="92"/>
    <cellStyle name="Result2 1" xfId="93"/>
    <cellStyle name="Saída" xfId="94"/>
    <cellStyle name="Comma [0]" xfId="95"/>
    <cellStyle name="Separador de milhares 2" xfId="96"/>
    <cellStyle name="Separador de milhares 2 2" xfId="97"/>
    <cellStyle name="Separador de milhares 2 3" xfId="98"/>
    <cellStyle name="Separador de milhares 2 3 2" xfId="99"/>
    <cellStyle name="Separador de milhares 2 3 3" xfId="100"/>
    <cellStyle name="Separador de milhares 3" xfId="101"/>
    <cellStyle name="Separador de milhares 3 2" xfId="102"/>
    <cellStyle name="Separador de milhares 3 2 2" xfId="103"/>
    <cellStyle name="Separador de milhares 3 3" xfId="104"/>
    <cellStyle name="Separador de milhares 3 4" xfId="105"/>
    <cellStyle name="Separador de milhares 4" xfId="106"/>
    <cellStyle name="Separador de milhares 4 2" xfId="107"/>
    <cellStyle name="Separador de milhares 5" xfId="108"/>
    <cellStyle name="Texto de Aviso" xfId="109"/>
    <cellStyle name="Texto Explicativo" xfId="110"/>
    <cellStyle name="Título" xfId="111"/>
    <cellStyle name="Título 1" xfId="112"/>
    <cellStyle name="Título 2" xfId="113"/>
    <cellStyle name="Título 3" xfId="114"/>
    <cellStyle name="Título 4" xfId="115"/>
    <cellStyle name="Total" xfId="116"/>
    <cellStyle name="Comma" xfId="117"/>
    <cellStyle name="Vírgula 2" xfId="118"/>
    <cellStyle name="Vírgula 2 2" xfId="119"/>
    <cellStyle name="Vírgula 2 3" xfId="120"/>
    <cellStyle name="Vírgula 2 3 2" xfId="121"/>
    <cellStyle name="Vírgula 2 4" xfId="122"/>
    <cellStyle name="Vírgula 3" xfId="123"/>
    <cellStyle name="Vírgula 3 2" xfId="124"/>
    <cellStyle name="Vírgula 4" xfId="125"/>
    <cellStyle name="Vírgula 4 2" xfId="126"/>
    <cellStyle name="Vírgula 4 3" xfId="127"/>
    <cellStyle name="Vírgula 5" xfId="128"/>
    <cellStyle name="Vírgula 5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66675</xdr:rowOff>
    </xdr:from>
    <xdr:to>
      <xdr:col>2</xdr:col>
      <xdr:colOff>4010025</xdr:colOff>
      <xdr:row>0</xdr:row>
      <xdr:rowOff>1076325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6675"/>
          <a:ext cx="2676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0</xdr:row>
      <xdr:rowOff>76200</xdr:rowOff>
    </xdr:from>
    <xdr:to>
      <xdr:col>3</xdr:col>
      <xdr:colOff>219075</xdr:colOff>
      <xdr:row>0</xdr:row>
      <xdr:rowOff>1076325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6200"/>
          <a:ext cx="267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0</xdr:row>
      <xdr:rowOff>76200</xdr:rowOff>
    </xdr:from>
    <xdr:to>
      <xdr:col>3</xdr:col>
      <xdr:colOff>209550</xdr:colOff>
      <xdr:row>0</xdr:row>
      <xdr:rowOff>1076325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6200"/>
          <a:ext cx="267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57150</xdr:rowOff>
    </xdr:from>
    <xdr:to>
      <xdr:col>5</xdr:col>
      <xdr:colOff>314325</xdr:colOff>
      <xdr:row>0</xdr:row>
      <xdr:rowOff>1057275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267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30</xdr:row>
      <xdr:rowOff>190500</xdr:rowOff>
    </xdr:from>
    <xdr:to>
      <xdr:col>1</xdr:col>
      <xdr:colOff>3819525</xdr:colOff>
      <xdr:row>32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43050" y="7143750"/>
          <a:ext cx="2962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142875</xdr:rowOff>
    </xdr:from>
    <xdr:to>
      <xdr:col>1</xdr:col>
      <xdr:colOff>3190875</xdr:colOff>
      <xdr:row>4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42875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iago\OneDrive%20-%2008u\Documentos\ENGTOP-GABRYELL\MACHADOS\Machados\OR&#199;AMENTOS\OR&#199;AMENTO%20DA%20ESCOLA%20JO&#195;O%20QUEIROZ\Calculo%20do%20B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mplo"/>
      <sheetName val="CALCULO DO BDI edific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rajasonline.com/revestimento-tecnogres-br10180-10x10a-144m2-azul-080300103/p?idsku=13059&amp;utm_source=googleshopping&amp;utm_campaign=FullCatalog&amp;gclid=Cj0KCQiAj9iBBhCJARIsAE9qRtCRtGdhXinNWdO9VbILKKMrvonlNXneq1qZse0o-5zvLbPK1RcifhIaAvA9EALw_wcB" TargetMode="External" /><Relationship Id="rId2" Type="http://schemas.openxmlformats.org/officeDocument/2006/relationships/hyperlink" Target="https://www.ferreiracosta.com/Produto/171038/ceramica-br10090-brilhante-tipo-a-10x10cm-144m-amarelo-tecnogres" TargetMode="External" /><Relationship Id="rId3" Type="http://schemas.openxmlformats.org/officeDocument/2006/relationships/hyperlink" Target="https://www.tupan.com.br/revestimento-10x10-amarelo-brilhante-tipo-a--refbr10090--tecnogres-838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8"/>
  <sheetViews>
    <sheetView tabSelected="1" view="pageBreakPreview" zoomScaleSheetLayoutView="100" workbookViewId="0" topLeftCell="A31">
      <selection activeCell="B2" sqref="B2"/>
    </sheetView>
  </sheetViews>
  <sheetFormatPr defaultColWidth="9.421875" defaultRowHeight="12.75"/>
  <cols>
    <col min="1" max="1" width="7.7109375" style="11" customWidth="1"/>
    <col min="2" max="2" width="13.57421875" style="340" customWidth="1"/>
    <col min="3" max="3" width="60.140625" style="11" customWidth="1"/>
    <col min="4" max="4" width="9.00390625" style="11" customWidth="1"/>
    <col min="5" max="5" width="13.28125" style="116" customWidth="1"/>
    <col min="6" max="6" width="11.57421875" style="11" customWidth="1"/>
    <col min="7" max="7" width="12.421875" style="11" customWidth="1"/>
    <col min="8" max="8" width="10.8515625" style="135" customWidth="1"/>
    <col min="9" max="9" width="12.8515625" style="135" customWidth="1"/>
    <col min="10" max="10" width="14.140625" style="136" customWidth="1"/>
    <col min="11" max="11" width="9.8515625" style="136" bestFit="1" customWidth="1"/>
    <col min="12" max="12" width="9.421875" style="136" customWidth="1"/>
    <col min="13" max="16384" width="9.421875" style="11" customWidth="1"/>
  </cols>
  <sheetData>
    <row r="1" spans="1:8" ht="84.75" customHeight="1">
      <c r="A1" s="378"/>
      <c r="B1" s="378"/>
      <c r="C1" s="378"/>
      <c r="D1" s="378"/>
      <c r="E1" s="378"/>
      <c r="F1" s="378"/>
      <c r="G1" s="378"/>
      <c r="H1" s="134"/>
    </row>
    <row r="2" spans="1:10" ht="12.75">
      <c r="A2" s="38" t="s">
        <v>339</v>
      </c>
      <c r="B2" s="335"/>
      <c r="C2" s="39"/>
      <c r="D2" s="40"/>
      <c r="E2" s="370" t="s">
        <v>112</v>
      </c>
      <c r="F2" s="371"/>
      <c r="G2" s="372"/>
      <c r="H2" s="112"/>
      <c r="I2" s="112"/>
      <c r="J2" s="29"/>
    </row>
    <row r="3" spans="1:10" ht="15" customHeight="1">
      <c r="A3" s="364" t="s">
        <v>340</v>
      </c>
      <c r="B3" s="365"/>
      <c r="C3" s="365"/>
      <c r="D3" s="366"/>
      <c r="E3" s="382" t="s">
        <v>445</v>
      </c>
      <c r="F3" s="374"/>
      <c r="G3" s="375"/>
      <c r="H3" s="112"/>
      <c r="I3" s="112"/>
      <c r="J3" s="29"/>
    </row>
    <row r="4" spans="1:10" ht="12.75">
      <c r="A4" s="50" t="s">
        <v>425</v>
      </c>
      <c r="B4" s="336"/>
      <c r="C4" s="29"/>
      <c r="D4" s="51"/>
      <c r="E4" s="370" t="s">
        <v>113</v>
      </c>
      <c r="F4" s="371"/>
      <c r="G4" s="372"/>
      <c r="H4" s="113"/>
      <c r="I4" s="113"/>
      <c r="J4" s="52"/>
    </row>
    <row r="5" spans="1:10" ht="12.75">
      <c r="A5" s="53" t="s">
        <v>341</v>
      </c>
      <c r="B5" s="337"/>
      <c r="C5" s="54"/>
      <c r="D5" s="55"/>
      <c r="E5" s="373">
        <v>0.1858</v>
      </c>
      <c r="F5" s="374"/>
      <c r="G5" s="375"/>
      <c r="H5" s="113"/>
      <c r="I5" s="113"/>
      <c r="J5" s="52"/>
    </row>
    <row r="6" spans="1:10" ht="12.75">
      <c r="A6" s="382"/>
      <c r="B6" s="374"/>
      <c r="C6" s="374"/>
      <c r="D6" s="374"/>
      <c r="E6" s="374"/>
      <c r="F6" s="374"/>
      <c r="G6" s="374"/>
      <c r="H6" s="114"/>
      <c r="I6" s="114"/>
      <c r="J6" s="56"/>
    </row>
    <row r="7" spans="1:9" ht="12.75">
      <c r="A7" s="379" t="s">
        <v>16</v>
      </c>
      <c r="B7" s="380"/>
      <c r="C7" s="380"/>
      <c r="D7" s="380"/>
      <c r="E7" s="380"/>
      <c r="F7" s="380"/>
      <c r="G7" s="381"/>
      <c r="H7" s="134"/>
      <c r="I7" s="137">
        <v>1.1858</v>
      </c>
    </row>
    <row r="8" spans="1:9" ht="38.25">
      <c r="A8" s="152" t="s">
        <v>0</v>
      </c>
      <c r="B8" s="152" t="s">
        <v>128</v>
      </c>
      <c r="C8" s="152" t="s">
        <v>11</v>
      </c>
      <c r="D8" s="152" t="s">
        <v>15</v>
      </c>
      <c r="E8" s="153" t="s">
        <v>17</v>
      </c>
      <c r="F8" s="152" t="s">
        <v>12</v>
      </c>
      <c r="G8" s="152" t="s">
        <v>31</v>
      </c>
      <c r="H8" s="115" t="s">
        <v>13</v>
      </c>
      <c r="I8" s="115" t="s">
        <v>14</v>
      </c>
    </row>
    <row r="9" spans="1:9" ht="12.75">
      <c r="A9" s="21" t="s">
        <v>9</v>
      </c>
      <c r="B9" s="22"/>
      <c r="C9" s="23" t="s">
        <v>22</v>
      </c>
      <c r="D9" s="57"/>
      <c r="E9" s="132"/>
      <c r="F9" s="24"/>
      <c r="G9" s="25"/>
      <c r="H9" s="138"/>
      <c r="I9" s="44">
        <f>ROUND((H9*$I$7),2)</f>
        <v>0</v>
      </c>
    </row>
    <row r="10" spans="1:9" ht="25.5">
      <c r="A10" s="64" t="s">
        <v>23</v>
      </c>
      <c r="B10" s="171" t="s">
        <v>332</v>
      </c>
      <c r="C10" s="65" t="s">
        <v>333</v>
      </c>
      <c r="D10" s="171" t="s">
        <v>29</v>
      </c>
      <c r="E10" s="121">
        <f>'MEMORIA DO ORÇAMENTO BASE'!H12</f>
        <v>6</v>
      </c>
      <c r="F10" s="12">
        <f>I10</f>
        <v>370.78</v>
      </c>
      <c r="G10" s="12">
        <f>ROUND(F10*E10,2)</f>
        <v>2224.68</v>
      </c>
      <c r="H10" s="139">
        <v>312.68</v>
      </c>
      <c r="I10" s="44">
        <f>ROUND((H10*$I$7),2)</f>
        <v>370.78</v>
      </c>
    </row>
    <row r="11" spans="1:9" ht="12.75">
      <c r="A11" s="60"/>
      <c r="B11" s="60"/>
      <c r="C11" s="8" t="s">
        <v>121</v>
      </c>
      <c r="D11" s="60"/>
      <c r="E11" s="60"/>
      <c r="F11" s="60"/>
      <c r="G11" s="133">
        <f>SUM(G10:G10)</f>
        <v>2224.68</v>
      </c>
      <c r="H11" s="140"/>
      <c r="I11" s="44">
        <f>ROUND((H11*$I$7),2)</f>
        <v>0</v>
      </c>
    </row>
    <row r="12" spans="1:9" ht="12.75">
      <c r="A12" s="152"/>
      <c r="B12" s="152"/>
      <c r="C12" s="152"/>
      <c r="D12" s="152"/>
      <c r="E12" s="153"/>
      <c r="F12" s="152"/>
      <c r="G12" s="152"/>
      <c r="H12" s="115"/>
      <c r="I12" s="44">
        <f>ROUND((H12*$I$7),2)</f>
        <v>0</v>
      </c>
    </row>
    <row r="13" spans="1:9" ht="12.75">
      <c r="A13" s="21" t="s">
        <v>10</v>
      </c>
      <c r="B13" s="22"/>
      <c r="C13" s="23" t="s">
        <v>426</v>
      </c>
      <c r="D13" s="57"/>
      <c r="E13" s="125"/>
      <c r="F13" s="24"/>
      <c r="G13" s="25"/>
      <c r="H13" s="115"/>
      <c r="I13" s="115"/>
    </row>
    <row r="14" spans="1:10" ht="12.75">
      <c r="A14" s="21" t="s">
        <v>24</v>
      </c>
      <c r="B14" s="22"/>
      <c r="C14" s="23" t="s">
        <v>351</v>
      </c>
      <c r="D14" s="57"/>
      <c r="E14" s="125"/>
      <c r="F14" s="24"/>
      <c r="G14" s="25"/>
      <c r="H14" s="138"/>
      <c r="I14" s="44">
        <f aca="true" t="shared" si="0" ref="I14:I34">ROUND((H14*$I$7),2)</f>
        <v>0</v>
      </c>
      <c r="J14" s="135"/>
    </row>
    <row r="15" spans="1:10" ht="25.5">
      <c r="A15" s="64" t="s">
        <v>215</v>
      </c>
      <c r="B15" s="171" t="s">
        <v>129</v>
      </c>
      <c r="C15" s="61" t="s">
        <v>122</v>
      </c>
      <c r="D15" s="151" t="s">
        <v>30</v>
      </c>
      <c r="E15" s="122">
        <f>'MEMORIA DO ORÇAMENTO BASE'!H18</f>
        <v>2.1</v>
      </c>
      <c r="F15" s="12">
        <f aca="true" t="shared" si="1" ref="F15:F23">I15</f>
        <v>99.82</v>
      </c>
      <c r="G15" s="12">
        <f aca="true" t="shared" si="2" ref="G15:G23">ROUND(F15*E15,2)</f>
        <v>209.62</v>
      </c>
      <c r="H15" s="127">
        <v>84.18</v>
      </c>
      <c r="I15" s="44">
        <f t="shared" si="0"/>
        <v>99.82</v>
      </c>
      <c r="J15" s="135"/>
    </row>
    <row r="16" spans="1:10" ht="25.5">
      <c r="A16" s="64" t="s">
        <v>216</v>
      </c>
      <c r="B16" s="36" t="s">
        <v>130</v>
      </c>
      <c r="C16" s="6" t="s">
        <v>126</v>
      </c>
      <c r="D16" s="5" t="s">
        <v>29</v>
      </c>
      <c r="E16" s="121">
        <f>'MEMORIA DO ORÇAMENTO BASE'!H22</f>
        <v>3.5</v>
      </c>
      <c r="F16" s="12">
        <f t="shared" si="1"/>
        <v>37.67</v>
      </c>
      <c r="G16" s="12">
        <f t="shared" si="2"/>
        <v>131.85</v>
      </c>
      <c r="H16" s="139">
        <v>31.77</v>
      </c>
      <c r="I16" s="44">
        <f t="shared" si="0"/>
        <v>37.67</v>
      </c>
      <c r="J16" s="135"/>
    </row>
    <row r="17" spans="1:10" ht="38.25">
      <c r="A17" s="64" t="s">
        <v>217</v>
      </c>
      <c r="B17" s="36" t="s">
        <v>138</v>
      </c>
      <c r="C17" s="6" t="s">
        <v>133</v>
      </c>
      <c r="D17" s="5" t="s">
        <v>29</v>
      </c>
      <c r="E17" s="121">
        <f>'MEMORIA DO ORÇAMENTO BASE'!H26</f>
        <v>2.34</v>
      </c>
      <c r="F17" s="12">
        <f t="shared" si="1"/>
        <v>235.96</v>
      </c>
      <c r="G17" s="12">
        <f t="shared" si="2"/>
        <v>552.15</v>
      </c>
      <c r="H17" s="139">
        <v>198.99</v>
      </c>
      <c r="I17" s="44">
        <f t="shared" si="0"/>
        <v>235.96</v>
      </c>
      <c r="J17" s="135"/>
    </row>
    <row r="18" spans="1:10" ht="38.25">
      <c r="A18" s="64" t="s">
        <v>218</v>
      </c>
      <c r="B18" s="36" t="s">
        <v>139</v>
      </c>
      <c r="C18" s="6" t="s">
        <v>134</v>
      </c>
      <c r="D18" s="5" t="s">
        <v>29</v>
      </c>
      <c r="E18" s="121">
        <f>'MEMORIA DO ORÇAMENTO BASE'!H31</f>
        <v>13.23</v>
      </c>
      <c r="F18" s="12">
        <f t="shared" si="1"/>
        <v>86.41</v>
      </c>
      <c r="G18" s="12">
        <f t="shared" si="2"/>
        <v>1143.2</v>
      </c>
      <c r="H18" s="139">
        <v>72.87</v>
      </c>
      <c r="I18" s="44">
        <f t="shared" si="0"/>
        <v>86.41</v>
      </c>
      <c r="J18" s="135"/>
    </row>
    <row r="19" spans="1:10" ht="38.25">
      <c r="A19" s="64" t="s">
        <v>219</v>
      </c>
      <c r="B19" s="36" t="s">
        <v>329</v>
      </c>
      <c r="C19" s="6" t="s">
        <v>328</v>
      </c>
      <c r="D19" s="5" t="s">
        <v>106</v>
      </c>
      <c r="E19" s="121">
        <f>'MEMORIA DO ORÇAMENTO BASE'!H35</f>
        <v>25</v>
      </c>
      <c r="F19" s="12">
        <f t="shared" si="1"/>
        <v>18.63</v>
      </c>
      <c r="G19" s="12">
        <f t="shared" si="2"/>
        <v>465.75</v>
      </c>
      <c r="H19" s="139">
        <v>15.71</v>
      </c>
      <c r="I19" s="44">
        <f t="shared" si="0"/>
        <v>18.63</v>
      </c>
      <c r="J19" s="135"/>
    </row>
    <row r="20" spans="1:10" ht="38.25">
      <c r="A20" s="64" t="s">
        <v>220</v>
      </c>
      <c r="B20" s="36" t="s">
        <v>142</v>
      </c>
      <c r="C20" s="6" t="s">
        <v>137</v>
      </c>
      <c r="D20" s="5" t="s">
        <v>106</v>
      </c>
      <c r="E20" s="121">
        <f>'MEMORIA DO ORÇAMENTO BASE'!H39</f>
        <v>93</v>
      </c>
      <c r="F20" s="12">
        <f t="shared" si="1"/>
        <v>15.49</v>
      </c>
      <c r="G20" s="12">
        <f t="shared" si="2"/>
        <v>1440.57</v>
      </c>
      <c r="H20" s="139">
        <v>13.06</v>
      </c>
      <c r="I20" s="44">
        <f t="shared" si="0"/>
        <v>15.49</v>
      </c>
      <c r="J20" s="135"/>
    </row>
    <row r="21" spans="1:10" ht="38.25">
      <c r="A21" s="64" t="s">
        <v>221</v>
      </c>
      <c r="B21" s="36" t="s">
        <v>140</v>
      </c>
      <c r="C21" s="6" t="s">
        <v>135</v>
      </c>
      <c r="D21" s="5" t="s">
        <v>30</v>
      </c>
      <c r="E21" s="121">
        <f>'MEMORIA DO ORÇAMENTO BASE'!H45</f>
        <v>3.05</v>
      </c>
      <c r="F21" s="12">
        <f t="shared" si="1"/>
        <v>605.86</v>
      </c>
      <c r="G21" s="12">
        <f t="shared" si="2"/>
        <v>1847.87</v>
      </c>
      <c r="H21" s="139">
        <v>510.93</v>
      </c>
      <c r="I21" s="44">
        <f>ROUND((H21*$I$7),2)</f>
        <v>605.86</v>
      </c>
      <c r="J21" s="135"/>
    </row>
    <row r="22" spans="1:10" ht="25.5">
      <c r="A22" s="64" t="s">
        <v>222</v>
      </c>
      <c r="B22" s="36" t="s">
        <v>141</v>
      </c>
      <c r="C22" s="6" t="s">
        <v>136</v>
      </c>
      <c r="D22" s="5" t="s">
        <v>30</v>
      </c>
      <c r="E22" s="121">
        <f>'MEMORIA DO ORÇAMENTO BASE'!H51</f>
        <v>3.05</v>
      </c>
      <c r="F22" s="12">
        <f t="shared" si="1"/>
        <v>48.12</v>
      </c>
      <c r="G22" s="12">
        <f t="shared" si="2"/>
        <v>146.77</v>
      </c>
      <c r="H22" s="139">
        <v>40.58</v>
      </c>
      <c r="I22" s="44">
        <f>ROUND((H22*$I$7),2)</f>
        <v>48.12</v>
      </c>
      <c r="J22" s="135"/>
    </row>
    <row r="23" spans="1:12" s="13" customFormat="1" ht="12.75">
      <c r="A23" s="64" t="s">
        <v>223</v>
      </c>
      <c r="B23" s="36" t="s">
        <v>337</v>
      </c>
      <c r="C23" s="6" t="s">
        <v>334</v>
      </c>
      <c r="D23" s="5" t="s">
        <v>30</v>
      </c>
      <c r="E23" s="121">
        <f>'MEMORIA DO ORÇAMENTO BASE'!H56</f>
        <v>0.75</v>
      </c>
      <c r="F23" s="12">
        <f t="shared" si="1"/>
        <v>25.42</v>
      </c>
      <c r="G23" s="12">
        <f t="shared" si="2"/>
        <v>19.07</v>
      </c>
      <c r="H23" s="139">
        <v>21.44</v>
      </c>
      <c r="I23" s="44">
        <f t="shared" si="0"/>
        <v>25.42</v>
      </c>
      <c r="J23" s="135"/>
      <c r="K23" s="136"/>
      <c r="L23" s="136"/>
    </row>
    <row r="24" spans="1:12" s="13" customFormat="1" ht="12.75" customHeight="1">
      <c r="A24" s="60"/>
      <c r="B24" s="60"/>
      <c r="C24" s="8" t="s">
        <v>233</v>
      </c>
      <c r="D24" s="60"/>
      <c r="E24" s="60"/>
      <c r="F24" s="60"/>
      <c r="G24" s="133">
        <f>SUM(G15:G23)</f>
        <v>5956.85</v>
      </c>
      <c r="H24" s="139"/>
      <c r="I24" s="44">
        <f t="shared" si="0"/>
        <v>0</v>
      </c>
      <c r="J24" s="135"/>
      <c r="K24" s="136"/>
      <c r="L24" s="136"/>
    </row>
    <row r="25" spans="1:10" ht="12.75">
      <c r="A25" s="15"/>
      <c r="B25" s="15"/>
      <c r="C25" s="15"/>
      <c r="D25" s="16"/>
      <c r="E25" s="126"/>
      <c r="F25" s="17"/>
      <c r="G25" s="154"/>
      <c r="H25" s="139"/>
      <c r="I25" s="44">
        <f t="shared" si="0"/>
        <v>0</v>
      </c>
      <c r="J25" s="135"/>
    </row>
    <row r="26" spans="1:10" ht="12.75">
      <c r="A26" s="21" t="s">
        <v>224</v>
      </c>
      <c r="B26" s="22"/>
      <c r="C26" s="23" t="s">
        <v>149</v>
      </c>
      <c r="D26" s="57"/>
      <c r="E26" s="125"/>
      <c r="F26" s="24"/>
      <c r="G26" s="25"/>
      <c r="H26" s="138"/>
      <c r="I26" s="44">
        <f t="shared" si="0"/>
        <v>0</v>
      </c>
      <c r="J26" s="135"/>
    </row>
    <row r="27" spans="1:10" ht="38.25">
      <c r="A27" s="64" t="s">
        <v>225</v>
      </c>
      <c r="B27" s="171" t="s">
        <v>132</v>
      </c>
      <c r="C27" s="65" t="s">
        <v>104</v>
      </c>
      <c r="D27" s="171" t="s">
        <v>29</v>
      </c>
      <c r="E27" s="123">
        <f>'MEMORIA DO ORÇAMENTO BASE'!H63</f>
        <v>13.58</v>
      </c>
      <c r="F27" s="124">
        <f>I27</f>
        <v>5.19</v>
      </c>
      <c r="G27" s="124">
        <f>ROUND(F27*E27,2)</f>
        <v>70.48</v>
      </c>
      <c r="H27" s="44">
        <v>4.38</v>
      </c>
      <c r="I27" s="44">
        <f t="shared" si="0"/>
        <v>5.19</v>
      </c>
      <c r="J27" s="135"/>
    </row>
    <row r="28" spans="1:10" ht="51">
      <c r="A28" s="64" t="s">
        <v>226</v>
      </c>
      <c r="B28" s="36" t="s">
        <v>245</v>
      </c>
      <c r="C28" s="6" t="s">
        <v>244</v>
      </c>
      <c r="D28" s="5" t="s">
        <v>29</v>
      </c>
      <c r="E28" s="123">
        <f>'MEMORIA DO ORÇAMENTO BASE'!H69</f>
        <v>13.58</v>
      </c>
      <c r="F28" s="124">
        <f>I28</f>
        <v>49.15</v>
      </c>
      <c r="G28" s="124">
        <f>ROUND(F28*E28,2)</f>
        <v>667.46</v>
      </c>
      <c r="H28" s="44">
        <v>41.45</v>
      </c>
      <c r="I28" s="44">
        <f t="shared" si="0"/>
        <v>49.15</v>
      </c>
      <c r="J28" s="135"/>
    </row>
    <row r="29" spans="1:10" ht="25.5">
      <c r="A29" s="64" t="s">
        <v>227</v>
      </c>
      <c r="B29" s="36" t="s">
        <v>247</v>
      </c>
      <c r="C29" s="6" t="s">
        <v>246</v>
      </c>
      <c r="D29" s="5" t="s">
        <v>29</v>
      </c>
      <c r="E29" s="123">
        <f>'MEMORIA DO ORÇAMENTO BASE'!H75</f>
        <v>13.58</v>
      </c>
      <c r="F29" s="124">
        <f>I29</f>
        <v>21.72</v>
      </c>
      <c r="G29" s="124">
        <f>ROUND(F29*E29,2)</f>
        <v>294.96</v>
      </c>
      <c r="H29" s="44">
        <v>18.32</v>
      </c>
      <c r="I29" s="44">
        <f t="shared" si="0"/>
        <v>21.72</v>
      </c>
      <c r="J29" s="135"/>
    </row>
    <row r="30" spans="1:10" ht="25.5">
      <c r="A30" s="64" t="s">
        <v>228</v>
      </c>
      <c r="B30" s="36" t="s">
        <v>249</v>
      </c>
      <c r="C30" s="6" t="s">
        <v>248</v>
      </c>
      <c r="D30" s="5" t="s">
        <v>29</v>
      </c>
      <c r="E30" s="123">
        <f>'MEMORIA DO ORÇAMENTO BASE'!H81</f>
        <v>13.58</v>
      </c>
      <c r="F30" s="124">
        <f>I30</f>
        <v>23.46</v>
      </c>
      <c r="G30" s="124">
        <f>ROUND(F30*E30,2)</f>
        <v>318.59</v>
      </c>
      <c r="H30" s="44">
        <v>19.78</v>
      </c>
      <c r="I30" s="44">
        <f t="shared" si="0"/>
        <v>23.46</v>
      </c>
      <c r="J30" s="135"/>
    </row>
    <row r="31" spans="1:10" ht="25.5">
      <c r="A31" s="64" t="s">
        <v>229</v>
      </c>
      <c r="B31" s="358" t="s">
        <v>162</v>
      </c>
      <c r="C31" s="61" t="s">
        <v>360</v>
      </c>
      <c r="D31" s="111" t="s">
        <v>35</v>
      </c>
      <c r="E31" s="318">
        <f>'MEMORIA DO ORÇAMENTO BASE'!H92</f>
        <v>1</v>
      </c>
      <c r="F31" s="12">
        <f>I31</f>
        <v>33202.4</v>
      </c>
      <c r="G31" s="12">
        <f>ROUND(F31*E31,2)</f>
        <v>33202.4</v>
      </c>
      <c r="H31" s="139">
        <v>28000</v>
      </c>
      <c r="I31" s="44">
        <f t="shared" si="0"/>
        <v>33202.4</v>
      </c>
      <c r="J31" s="135"/>
    </row>
    <row r="32" spans="1:12" s="13" customFormat="1" ht="12.75" customHeight="1">
      <c r="A32" s="60"/>
      <c r="B32" s="60"/>
      <c r="C32" s="8" t="s">
        <v>232</v>
      </c>
      <c r="D32" s="60"/>
      <c r="E32" s="60"/>
      <c r="F32" s="60"/>
      <c r="G32" s="133">
        <f>SUM(G27:G31)</f>
        <v>34553.89</v>
      </c>
      <c r="H32" s="139"/>
      <c r="I32" s="44">
        <f t="shared" si="0"/>
        <v>0</v>
      </c>
      <c r="J32" s="135"/>
      <c r="K32" s="136"/>
      <c r="L32" s="136"/>
    </row>
    <row r="33" spans="1:10" ht="12.75">
      <c r="A33" s="15"/>
      <c r="B33" s="15"/>
      <c r="C33" s="15"/>
      <c r="D33" s="16"/>
      <c r="E33" s="126"/>
      <c r="F33" s="17"/>
      <c r="G33" s="154"/>
      <c r="H33" s="139"/>
      <c r="I33" s="44">
        <f t="shared" si="0"/>
        <v>0</v>
      </c>
      <c r="J33" s="135"/>
    </row>
    <row r="34" spans="1:10" ht="12.75">
      <c r="A34" s="21" t="s">
        <v>230</v>
      </c>
      <c r="B34" s="22"/>
      <c r="C34" s="23" t="s">
        <v>372</v>
      </c>
      <c r="D34" s="57"/>
      <c r="E34" s="125"/>
      <c r="F34" s="24"/>
      <c r="G34" s="25"/>
      <c r="H34" s="138"/>
      <c r="I34" s="44">
        <f t="shared" si="0"/>
        <v>0</v>
      </c>
      <c r="J34" s="135"/>
    </row>
    <row r="35" spans="1:10" ht="25.5">
      <c r="A35" s="64" t="s">
        <v>231</v>
      </c>
      <c r="B35" s="36" t="s">
        <v>344</v>
      </c>
      <c r="C35" s="6" t="s">
        <v>343</v>
      </c>
      <c r="D35" s="5" t="s">
        <v>103</v>
      </c>
      <c r="E35" s="121">
        <f>'MEMORIA DO ORÇAMENTO BASE'!H99</f>
        <v>305.65</v>
      </c>
      <c r="F35" s="12">
        <f aca="true" t="shared" si="3" ref="F35:F49">I35</f>
        <v>14.19</v>
      </c>
      <c r="G35" s="12">
        <f aca="true" t="shared" si="4" ref="G35:G49">ROUND(F35*E35,2)</f>
        <v>4337.17</v>
      </c>
      <c r="H35" s="139">
        <f>COMPOSIÇÕES!H13</f>
        <v>11.97</v>
      </c>
      <c r="I35" s="44">
        <f>ROUND((H35*$I$7),2)</f>
        <v>14.19</v>
      </c>
      <c r="J35" s="135"/>
    </row>
    <row r="36" spans="1:10" ht="38.25">
      <c r="A36" s="64" t="s">
        <v>234</v>
      </c>
      <c r="B36" s="36" t="s">
        <v>350</v>
      </c>
      <c r="C36" s="6" t="s">
        <v>349</v>
      </c>
      <c r="D36" s="5" t="s">
        <v>30</v>
      </c>
      <c r="E36" s="121">
        <f>'MEMORIA DO ORÇAMENTO BASE'!H103</f>
        <v>14.3</v>
      </c>
      <c r="F36" s="12">
        <f t="shared" si="3"/>
        <v>11.02</v>
      </c>
      <c r="G36" s="12">
        <f t="shared" si="4"/>
        <v>157.59</v>
      </c>
      <c r="H36" s="139">
        <v>9.29</v>
      </c>
      <c r="I36" s="44">
        <f aca="true" t="shared" si="5" ref="I36:I79">ROUND((H36*$I$7),2)</f>
        <v>11.02</v>
      </c>
      <c r="J36" s="135"/>
    </row>
    <row r="37" spans="1:10" ht="51">
      <c r="A37" s="64" t="s">
        <v>235</v>
      </c>
      <c r="B37" s="36" t="s">
        <v>366</v>
      </c>
      <c r="C37" s="6" t="s">
        <v>365</v>
      </c>
      <c r="D37" s="5" t="s">
        <v>103</v>
      </c>
      <c r="E37" s="121">
        <f>'MEMORIA DO ORÇAMENTO BASE'!H109</f>
        <v>305.65</v>
      </c>
      <c r="F37" s="12">
        <f t="shared" si="3"/>
        <v>63.58</v>
      </c>
      <c r="G37" s="12">
        <f t="shared" si="4"/>
        <v>19433.23</v>
      </c>
      <c r="H37" s="139">
        <v>53.62</v>
      </c>
      <c r="I37" s="44">
        <f t="shared" si="5"/>
        <v>63.58</v>
      </c>
      <c r="J37" s="135"/>
    </row>
    <row r="38" spans="1:10" ht="25.5">
      <c r="A38" s="64" t="s">
        <v>236</v>
      </c>
      <c r="B38" s="36" t="s">
        <v>214</v>
      </c>
      <c r="C38" s="6" t="s">
        <v>213</v>
      </c>
      <c r="D38" s="5" t="s">
        <v>29</v>
      </c>
      <c r="E38" s="121">
        <f>'MEMORIA DO ORÇAMENTO BASE'!H113</f>
        <v>373.6</v>
      </c>
      <c r="F38" s="12">
        <f t="shared" si="3"/>
        <v>84.97</v>
      </c>
      <c r="G38" s="12">
        <f t="shared" si="4"/>
        <v>31744.79</v>
      </c>
      <c r="H38" s="139">
        <v>71.66</v>
      </c>
      <c r="I38" s="44">
        <f t="shared" si="5"/>
        <v>84.97</v>
      </c>
      <c r="J38" s="135"/>
    </row>
    <row r="39" spans="1:10" ht="25.5">
      <c r="A39" s="64" t="s">
        <v>237</v>
      </c>
      <c r="B39" s="36" t="s">
        <v>369</v>
      </c>
      <c r="C39" s="6" t="s">
        <v>368</v>
      </c>
      <c r="D39" s="5" t="s">
        <v>29</v>
      </c>
      <c r="E39" s="318">
        <f>'MEMORIA DO ORÇAMENTO BASE'!H118</f>
        <v>465.90000000000003</v>
      </c>
      <c r="F39" s="12">
        <f t="shared" si="3"/>
        <v>93.39</v>
      </c>
      <c r="G39" s="12">
        <f t="shared" si="4"/>
        <v>43510.4</v>
      </c>
      <c r="H39" s="139">
        <v>78.76</v>
      </c>
      <c r="I39" s="44">
        <f t="shared" si="5"/>
        <v>93.39</v>
      </c>
      <c r="J39" s="135"/>
    </row>
    <row r="40" spans="1:10" ht="25.5">
      <c r="A40" s="64" t="s">
        <v>238</v>
      </c>
      <c r="B40" s="155" t="s">
        <v>129</v>
      </c>
      <c r="C40" s="285" t="s">
        <v>250</v>
      </c>
      <c r="D40" s="167" t="s">
        <v>30</v>
      </c>
      <c r="E40" s="121">
        <f>'MEMORIA DO ORÇAMENTO BASE'!H125</f>
        <v>7.54</v>
      </c>
      <c r="F40" s="12">
        <f t="shared" si="3"/>
        <v>99.82</v>
      </c>
      <c r="G40" s="12">
        <f t="shared" si="4"/>
        <v>752.64</v>
      </c>
      <c r="H40" s="261">
        <v>84.18</v>
      </c>
      <c r="I40" s="259">
        <f t="shared" si="5"/>
        <v>99.82</v>
      </c>
      <c r="J40" s="135"/>
    </row>
    <row r="41" spans="1:10" ht="25.5">
      <c r="A41" s="64" t="s">
        <v>239</v>
      </c>
      <c r="B41" s="36" t="s">
        <v>130</v>
      </c>
      <c r="C41" s="6" t="s">
        <v>126</v>
      </c>
      <c r="D41" s="5" t="s">
        <v>29</v>
      </c>
      <c r="E41" s="121">
        <f>'MEMORIA DO ORÇAMENTO BASE'!H132</f>
        <v>17.7</v>
      </c>
      <c r="F41" s="12">
        <f t="shared" si="3"/>
        <v>37.67</v>
      </c>
      <c r="G41" s="12">
        <f t="shared" si="4"/>
        <v>666.76</v>
      </c>
      <c r="H41" s="261">
        <v>31.77</v>
      </c>
      <c r="I41" s="259">
        <f t="shared" si="5"/>
        <v>37.67</v>
      </c>
      <c r="J41" s="135"/>
    </row>
    <row r="42" spans="1:10" ht="38.25">
      <c r="A42" s="64" t="s">
        <v>240</v>
      </c>
      <c r="B42" s="36" t="s">
        <v>170</v>
      </c>
      <c r="C42" s="6" t="s">
        <v>251</v>
      </c>
      <c r="D42" s="5" t="s">
        <v>30</v>
      </c>
      <c r="E42" s="121">
        <f>'MEMORIA DO ORÇAMENTO BASE'!H139</f>
        <v>0.9099999999999999</v>
      </c>
      <c r="F42" s="12">
        <f t="shared" si="3"/>
        <v>3173.69</v>
      </c>
      <c r="G42" s="12">
        <f t="shared" si="4"/>
        <v>2888.06</v>
      </c>
      <c r="H42" s="261">
        <f>COMPOSIÇÕES!H30</f>
        <v>2676.41</v>
      </c>
      <c r="I42" s="259">
        <f t="shared" si="5"/>
        <v>3173.69</v>
      </c>
      <c r="J42" s="135"/>
    </row>
    <row r="43" spans="1:10" ht="38.25">
      <c r="A43" s="64" t="s">
        <v>241</v>
      </c>
      <c r="B43" s="36" t="s">
        <v>452</v>
      </c>
      <c r="C43" s="6" t="s">
        <v>450</v>
      </c>
      <c r="D43" s="5" t="s">
        <v>29</v>
      </c>
      <c r="E43" s="121">
        <f>'MEMORIA DO ORÇAMENTO BASE'!H143</f>
        <v>5.96</v>
      </c>
      <c r="F43" s="12">
        <f>I43</f>
        <v>112.71</v>
      </c>
      <c r="G43" s="12">
        <f>ROUND(F43*E43,2)</f>
        <v>671.75</v>
      </c>
      <c r="H43" s="261">
        <v>95.05</v>
      </c>
      <c r="I43" s="259">
        <f t="shared" si="5"/>
        <v>112.71</v>
      </c>
      <c r="J43" s="135"/>
    </row>
    <row r="44" spans="1:10" ht="38.25">
      <c r="A44" s="64" t="s">
        <v>242</v>
      </c>
      <c r="B44" s="36" t="s">
        <v>455</v>
      </c>
      <c r="C44" s="6" t="s">
        <v>454</v>
      </c>
      <c r="D44" s="5" t="s">
        <v>106</v>
      </c>
      <c r="E44" s="121">
        <f>'MEMORIA DO ORÇAMENTO BASE'!H147</f>
        <v>51</v>
      </c>
      <c r="F44" s="12">
        <f>I44</f>
        <v>17.15</v>
      </c>
      <c r="G44" s="12">
        <f>ROUND(F44*E44,2)</f>
        <v>874.65</v>
      </c>
      <c r="H44" s="261">
        <v>14.46</v>
      </c>
      <c r="I44" s="259">
        <f t="shared" si="5"/>
        <v>17.15</v>
      </c>
      <c r="J44" s="135"/>
    </row>
    <row r="45" spans="1:10" ht="38.25">
      <c r="A45" s="64" t="s">
        <v>252</v>
      </c>
      <c r="B45" s="36" t="s">
        <v>140</v>
      </c>
      <c r="C45" s="6" t="s">
        <v>135</v>
      </c>
      <c r="D45" s="5" t="s">
        <v>30</v>
      </c>
      <c r="E45" s="121">
        <f>'MEMORIA DO ORÇAMENTO BASE'!H152</f>
        <v>2.86</v>
      </c>
      <c r="F45" s="12">
        <f>I45</f>
        <v>605.86</v>
      </c>
      <c r="G45" s="12">
        <f>ROUND(F45*E45,2)</f>
        <v>1732.76</v>
      </c>
      <c r="H45" s="139">
        <v>510.93</v>
      </c>
      <c r="I45" s="44">
        <f>ROUND((H45*$I$7),2)</f>
        <v>605.86</v>
      </c>
      <c r="J45" s="135"/>
    </row>
    <row r="46" spans="1:10" ht="25.5">
      <c r="A46" s="64" t="s">
        <v>253</v>
      </c>
      <c r="B46" s="36" t="s">
        <v>141</v>
      </c>
      <c r="C46" s="6" t="s">
        <v>136</v>
      </c>
      <c r="D46" s="5" t="s">
        <v>30</v>
      </c>
      <c r="E46" s="121">
        <f>'MEMORIA DO ORÇAMENTO BASE'!H157</f>
        <v>2.86</v>
      </c>
      <c r="F46" s="12">
        <f>I46</f>
        <v>48.12</v>
      </c>
      <c r="G46" s="12">
        <f>ROUND(F46*E46,2)</f>
        <v>137.62</v>
      </c>
      <c r="H46" s="139">
        <v>40.58</v>
      </c>
      <c r="I46" s="44">
        <f>ROUND((H46*$I$7),2)</f>
        <v>48.12</v>
      </c>
      <c r="J46" s="135"/>
    </row>
    <row r="47" spans="1:10" ht="38.25">
      <c r="A47" s="64" t="s">
        <v>254</v>
      </c>
      <c r="B47" s="155" t="s">
        <v>302</v>
      </c>
      <c r="C47" s="6" t="s">
        <v>303</v>
      </c>
      <c r="D47" s="167" t="s">
        <v>29</v>
      </c>
      <c r="E47" s="121">
        <f>'MEMORIA DO ORÇAMENTO BASE'!H162</f>
        <v>13.22</v>
      </c>
      <c r="F47" s="12">
        <f>I47</f>
        <v>90.33</v>
      </c>
      <c r="G47" s="12">
        <f>ROUND(F47*E47,2)</f>
        <v>1194.16</v>
      </c>
      <c r="H47" s="261">
        <v>76.18</v>
      </c>
      <c r="I47" s="259">
        <f t="shared" si="5"/>
        <v>90.33</v>
      </c>
      <c r="J47" s="135"/>
    </row>
    <row r="48" spans="1:10" ht="38.25">
      <c r="A48" s="64" t="s">
        <v>292</v>
      </c>
      <c r="B48" s="36" t="s">
        <v>131</v>
      </c>
      <c r="C48" s="6" t="s">
        <v>127</v>
      </c>
      <c r="D48" s="5" t="s">
        <v>29</v>
      </c>
      <c r="E48" s="121">
        <f>'MEMORIA DO ORÇAMENTO BASE'!H167</f>
        <v>18.619999999999997</v>
      </c>
      <c r="F48" s="12">
        <f t="shared" si="3"/>
        <v>96.03</v>
      </c>
      <c r="G48" s="12">
        <f t="shared" si="4"/>
        <v>1788.08</v>
      </c>
      <c r="H48" s="261">
        <v>80.98</v>
      </c>
      <c r="I48" s="259">
        <f t="shared" si="5"/>
        <v>96.03</v>
      </c>
      <c r="J48" s="135"/>
    </row>
    <row r="49" spans="1:10" ht="38.25">
      <c r="A49" s="64" t="s">
        <v>347</v>
      </c>
      <c r="B49" s="155" t="s">
        <v>132</v>
      </c>
      <c r="C49" s="265" t="s">
        <v>104</v>
      </c>
      <c r="D49" s="155" t="s">
        <v>29</v>
      </c>
      <c r="E49" s="122">
        <f>'MEMORIA DO ORÇAMENTO BASE'!H180</f>
        <v>49.14000000000001</v>
      </c>
      <c r="F49" s="12">
        <f t="shared" si="3"/>
        <v>5.19</v>
      </c>
      <c r="G49" s="12">
        <f t="shared" si="4"/>
        <v>255.04</v>
      </c>
      <c r="H49" s="259">
        <v>4.38</v>
      </c>
      <c r="I49" s="259">
        <f t="shared" si="5"/>
        <v>5.19</v>
      </c>
      <c r="J49" s="135"/>
    </row>
    <row r="50" spans="1:10" ht="51">
      <c r="A50" s="64" t="s">
        <v>348</v>
      </c>
      <c r="B50" s="155" t="s">
        <v>245</v>
      </c>
      <c r="C50" s="265" t="s">
        <v>307</v>
      </c>
      <c r="D50" s="155" t="s">
        <v>29</v>
      </c>
      <c r="E50" s="122">
        <f>'MEMORIA DO ORÇAMENTO BASE'!H189</f>
        <v>45.13999999999999</v>
      </c>
      <c r="F50" s="12">
        <f aca="true" t="shared" si="6" ref="F50:F57">I50</f>
        <v>49.15</v>
      </c>
      <c r="G50" s="12">
        <f aca="true" t="shared" si="7" ref="G50:G57">ROUND(F50*E50,2)</f>
        <v>2218.63</v>
      </c>
      <c r="H50" s="308">
        <v>41.45</v>
      </c>
      <c r="I50" s="259">
        <f t="shared" si="5"/>
        <v>49.15</v>
      </c>
      <c r="J50" s="135"/>
    </row>
    <row r="51" spans="1:10" ht="63.75">
      <c r="A51" s="64" t="s">
        <v>367</v>
      </c>
      <c r="B51" s="36" t="s">
        <v>374</v>
      </c>
      <c r="C51" s="6" t="s">
        <v>373</v>
      </c>
      <c r="D51" s="5" t="s">
        <v>29</v>
      </c>
      <c r="E51" s="318">
        <f>'MEMORIA DO ORÇAMENTO BASE'!H200</f>
        <v>4</v>
      </c>
      <c r="F51" s="12">
        <f t="shared" si="6"/>
        <v>53.63</v>
      </c>
      <c r="G51" s="12">
        <f t="shared" si="7"/>
        <v>214.52</v>
      </c>
      <c r="H51" s="139">
        <v>45.23</v>
      </c>
      <c r="I51" s="259">
        <f t="shared" si="5"/>
        <v>53.63</v>
      </c>
      <c r="J51" s="135"/>
    </row>
    <row r="52" spans="1:10" ht="51">
      <c r="A52" s="64" t="s">
        <v>416</v>
      </c>
      <c r="B52" s="36" t="s">
        <v>160</v>
      </c>
      <c r="C52" s="6" t="s">
        <v>375</v>
      </c>
      <c r="D52" s="5" t="s">
        <v>30</v>
      </c>
      <c r="E52" s="318">
        <f>'MEMORIA DO ORÇAMENTO BASE'!H211</f>
        <v>4</v>
      </c>
      <c r="F52" s="12">
        <f t="shared" si="6"/>
        <v>110.62</v>
      </c>
      <c r="G52" s="12">
        <f t="shared" si="7"/>
        <v>442.48</v>
      </c>
      <c r="H52" s="139">
        <f>COMPOSIÇÕES!H85</f>
        <v>93.2904</v>
      </c>
      <c r="I52" s="259">
        <f t="shared" si="5"/>
        <v>110.62</v>
      </c>
      <c r="J52" s="135"/>
    </row>
    <row r="53" spans="1:10" ht="25.5">
      <c r="A53" s="64" t="s">
        <v>417</v>
      </c>
      <c r="B53" s="155" t="s">
        <v>199</v>
      </c>
      <c r="C53" s="265" t="s">
        <v>319</v>
      </c>
      <c r="D53" s="155" t="s">
        <v>29</v>
      </c>
      <c r="E53" s="121">
        <f>'MEMORIA DO ORÇAMENTO BASE'!H220</f>
        <v>45.13999999999999</v>
      </c>
      <c r="F53" s="12">
        <f>I53</f>
        <v>14.91</v>
      </c>
      <c r="G53" s="12">
        <f>ROUND(F53*E53,2)</f>
        <v>673.04</v>
      </c>
      <c r="H53" s="261">
        <v>12.57</v>
      </c>
      <c r="I53" s="259">
        <f t="shared" si="5"/>
        <v>14.91</v>
      </c>
      <c r="J53" s="135"/>
    </row>
    <row r="54" spans="1:10" ht="12.75">
      <c r="A54" s="64" t="s">
        <v>432</v>
      </c>
      <c r="B54" s="36" t="s">
        <v>407</v>
      </c>
      <c r="C54" s="6" t="s">
        <v>403</v>
      </c>
      <c r="D54" s="5" t="s">
        <v>30</v>
      </c>
      <c r="E54" s="318">
        <f>'MEMORIA DO ORÇAMENTO BASE'!H225</f>
        <v>10.29</v>
      </c>
      <c r="F54" s="12">
        <f t="shared" si="6"/>
        <v>91.72</v>
      </c>
      <c r="G54" s="12">
        <f t="shared" si="7"/>
        <v>943.8</v>
      </c>
      <c r="H54" s="139">
        <v>77.35</v>
      </c>
      <c r="I54" s="259">
        <f t="shared" si="5"/>
        <v>91.72</v>
      </c>
      <c r="J54" s="135"/>
    </row>
    <row r="55" spans="1:10" ht="12.75">
      <c r="A55" s="64" t="s">
        <v>447</v>
      </c>
      <c r="B55" s="36" t="s">
        <v>408</v>
      </c>
      <c r="C55" s="6" t="s">
        <v>404</v>
      </c>
      <c r="D55" s="5" t="s">
        <v>29</v>
      </c>
      <c r="E55" s="318">
        <f>'MEMORIA DO ORÇAMENTO BASE'!H230</f>
        <v>22.869999999999997</v>
      </c>
      <c r="F55" s="12">
        <f t="shared" si="6"/>
        <v>5.31</v>
      </c>
      <c r="G55" s="12">
        <f t="shared" si="7"/>
        <v>121.44</v>
      </c>
      <c r="H55" s="139">
        <v>4.48</v>
      </c>
      <c r="I55" s="259">
        <f t="shared" si="5"/>
        <v>5.31</v>
      </c>
      <c r="J55" s="135"/>
    </row>
    <row r="56" spans="1:10" ht="12.75">
      <c r="A56" s="64" t="s">
        <v>448</v>
      </c>
      <c r="B56" s="36" t="s">
        <v>409</v>
      </c>
      <c r="C56" s="6" t="s">
        <v>405</v>
      </c>
      <c r="D56" s="5" t="s">
        <v>29</v>
      </c>
      <c r="E56" s="318">
        <f>'MEMORIA DO ORÇAMENTO BASE'!H235</f>
        <v>22.869999999999997</v>
      </c>
      <c r="F56" s="12">
        <f t="shared" si="6"/>
        <v>19.28</v>
      </c>
      <c r="G56" s="12">
        <f t="shared" si="7"/>
        <v>440.93</v>
      </c>
      <c r="H56" s="139">
        <v>16.26</v>
      </c>
      <c r="I56" s="259">
        <f t="shared" si="5"/>
        <v>19.28</v>
      </c>
      <c r="J56" s="135"/>
    </row>
    <row r="57" spans="1:10" ht="12.75">
      <c r="A57" s="64" t="s">
        <v>449</v>
      </c>
      <c r="B57" s="358" t="s">
        <v>410</v>
      </c>
      <c r="C57" s="61" t="s">
        <v>406</v>
      </c>
      <c r="D57" s="111" t="s">
        <v>35</v>
      </c>
      <c r="E57" s="318">
        <f>'MEMORIA DO ORÇAMENTO BASE'!H240</f>
        <v>20</v>
      </c>
      <c r="F57" s="12">
        <f t="shared" si="6"/>
        <v>98.29</v>
      </c>
      <c r="G57" s="12">
        <f t="shared" si="7"/>
        <v>1965.8</v>
      </c>
      <c r="H57" s="139">
        <v>82.89</v>
      </c>
      <c r="I57" s="259">
        <f t="shared" si="5"/>
        <v>98.29</v>
      </c>
      <c r="J57" s="135"/>
    </row>
    <row r="58" spans="1:10" ht="25.5">
      <c r="A58" s="64" t="s">
        <v>453</v>
      </c>
      <c r="B58" s="358" t="s">
        <v>162</v>
      </c>
      <c r="C58" s="61" t="s">
        <v>402</v>
      </c>
      <c r="D58" s="111" t="s">
        <v>35</v>
      </c>
      <c r="E58" s="318">
        <f>'MEMORIA DO ORÇAMENTO BASE'!H250</f>
        <v>1</v>
      </c>
      <c r="F58" s="12">
        <f>I58</f>
        <v>32016.6</v>
      </c>
      <c r="G58" s="12">
        <f>ROUND(F58*E58,2)</f>
        <v>32016.6</v>
      </c>
      <c r="H58" s="139">
        <v>27000</v>
      </c>
      <c r="I58" s="259">
        <f t="shared" si="5"/>
        <v>32016.6</v>
      </c>
      <c r="J58" s="135"/>
    </row>
    <row r="59" spans="1:10" ht="12.75">
      <c r="A59" s="60"/>
      <c r="B59" s="60"/>
      <c r="C59" s="8" t="s">
        <v>243</v>
      </c>
      <c r="D59" s="60"/>
      <c r="E59" s="60"/>
      <c r="F59" s="60"/>
      <c r="G59" s="133">
        <f>SUM(G35:G58)</f>
        <v>149181.93999999997</v>
      </c>
      <c r="H59" s="139"/>
      <c r="I59" s="259">
        <f t="shared" si="5"/>
        <v>0</v>
      </c>
      <c r="J59" s="135"/>
    </row>
    <row r="60" spans="1:10" ht="12.75">
      <c r="A60" s="64"/>
      <c r="B60" s="36"/>
      <c r="C60" s="6"/>
      <c r="D60" s="5"/>
      <c r="E60" s="318"/>
      <c r="F60" s="12"/>
      <c r="G60" s="12"/>
      <c r="H60" s="139"/>
      <c r="I60" s="259">
        <f t="shared" si="5"/>
        <v>0</v>
      </c>
      <c r="J60" s="135"/>
    </row>
    <row r="61" spans="1:10" ht="12.75">
      <c r="A61" s="21" t="s">
        <v>430</v>
      </c>
      <c r="B61" s="22"/>
      <c r="C61" s="23" t="s">
        <v>331</v>
      </c>
      <c r="D61" s="57"/>
      <c r="E61" s="125"/>
      <c r="F61" s="24"/>
      <c r="G61" s="25"/>
      <c r="H61" s="139"/>
      <c r="I61" s="259">
        <f t="shared" si="5"/>
        <v>0</v>
      </c>
      <c r="J61" s="135"/>
    </row>
    <row r="62" spans="1:10" ht="25.5">
      <c r="A62" s="64" t="s">
        <v>433</v>
      </c>
      <c r="B62" s="36" t="s">
        <v>257</v>
      </c>
      <c r="C62" s="248" t="s">
        <v>256</v>
      </c>
      <c r="D62" s="155" t="s">
        <v>35</v>
      </c>
      <c r="E62" s="284">
        <f>'MEMORIA DO ORÇAMENTO BASE'!H255</f>
        <v>3</v>
      </c>
      <c r="F62" s="12">
        <f aca="true" t="shared" si="8" ref="F62:F67">I62</f>
        <v>2610.53</v>
      </c>
      <c r="G62" s="12">
        <f aca="true" t="shared" si="9" ref="G62:G67">ROUND(F62*E62,2)</f>
        <v>7831.59</v>
      </c>
      <c r="H62" s="259">
        <v>2201.49</v>
      </c>
      <c r="I62" s="259">
        <f t="shared" si="5"/>
        <v>2610.53</v>
      </c>
      <c r="J62" s="135"/>
    </row>
    <row r="63" spans="1:10" ht="25.5">
      <c r="A63" s="64" t="s">
        <v>434</v>
      </c>
      <c r="B63" s="155" t="s">
        <v>129</v>
      </c>
      <c r="C63" s="285" t="s">
        <v>250</v>
      </c>
      <c r="D63" s="167" t="s">
        <v>30</v>
      </c>
      <c r="E63" s="284">
        <f>'MEMORIA DO ORÇAMENTO BASE'!H259</f>
        <v>0.19</v>
      </c>
      <c r="F63" s="12">
        <f t="shared" si="8"/>
        <v>99.82</v>
      </c>
      <c r="G63" s="12">
        <f t="shared" si="9"/>
        <v>18.97</v>
      </c>
      <c r="H63" s="259">
        <v>84.18</v>
      </c>
      <c r="I63" s="259">
        <f t="shared" si="5"/>
        <v>99.82</v>
      </c>
      <c r="J63" s="135"/>
    </row>
    <row r="64" spans="1:11" ht="38.25">
      <c r="A64" s="64" t="s">
        <v>435</v>
      </c>
      <c r="B64" s="286" t="s">
        <v>170</v>
      </c>
      <c r="C64" s="265" t="s">
        <v>251</v>
      </c>
      <c r="D64" s="155" t="s">
        <v>30</v>
      </c>
      <c r="E64" s="284">
        <f>'MEMORIA DO ORÇAMENTO BASE'!H263</f>
        <v>0.19</v>
      </c>
      <c r="F64" s="12">
        <f t="shared" si="8"/>
        <v>3173.69</v>
      </c>
      <c r="G64" s="12">
        <f t="shared" si="9"/>
        <v>603</v>
      </c>
      <c r="H64" s="259">
        <f>COMPOSIÇÕES!H30</f>
        <v>2676.41</v>
      </c>
      <c r="I64" s="259">
        <f t="shared" si="5"/>
        <v>3173.69</v>
      </c>
      <c r="J64" s="135"/>
      <c r="K64" s="172"/>
    </row>
    <row r="65" spans="1:11" ht="25.5">
      <c r="A65" s="64" t="s">
        <v>436</v>
      </c>
      <c r="B65" s="171" t="s">
        <v>162</v>
      </c>
      <c r="C65" s="61" t="s">
        <v>440</v>
      </c>
      <c r="D65" s="171" t="s">
        <v>35</v>
      </c>
      <c r="E65" s="284">
        <f>'MEMORIA DO ORÇAMENTO BASE'!H267</f>
        <v>3</v>
      </c>
      <c r="F65" s="12">
        <f t="shared" si="8"/>
        <v>322.54</v>
      </c>
      <c r="G65" s="12">
        <f t="shared" si="9"/>
        <v>967.62</v>
      </c>
      <c r="H65" s="259">
        <v>272</v>
      </c>
      <c r="I65" s="259">
        <f t="shared" si="5"/>
        <v>322.54</v>
      </c>
      <c r="J65" s="135"/>
      <c r="K65" s="172"/>
    </row>
    <row r="66" spans="1:11" ht="25.5">
      <c r="A66" s="64" t="s">
        <v>437</v>
      </c>
      <c r="B66" s="358" t="s">
        <v>162</v>
      </c>
      <c r="C66" s="61" t="s">
        <v>506</v>
      </c>
      <c r="D66" s="171" t="s">
        <v>35</v>
      </c>
      <c r="E66" s="284">
        <f>'MEMORIA DO ORÇAMENTO BASE'!H271</f>
        <v>12</v>
      </c>
      <c r="F66" s="12">
        <f t="shared" si="8"/>
        <v>741.46</v>
      </c>
      <c r="G66" s="12">
        <f t="shared" si="9"/>
        <v>8897.52</v>
      </c>
      <c r="H66" s="259">
        <v>625.28</v>
      </c>
      <c r="I66" s="259">
        <f t="shared" si="5"/>
        <v>741.46</v>
      </c>
      <c r="J66" s="135"/>
      <c r="K66" s="172">
        <f>G68+G32+G24</f>
        <v>61745.8</v>
      </c>
    </row>
    <row r="67" spans="1:10" ht="25.5">
      <c r="A67" s="64" t="s">
        <v>438</v>
      </c>
      <c r="B67" s="358" t="s">
        <v>162</v>
      </c>
      <c r="C67" s="58" t="s">
        <v>441</v>
      </c>
      <c r="D67" s="171" t="s">
        <v>35</v>
      </c>
      <c r="E67" s="284">
        <f>'MEMORIA DO ORÇAMENTO BASE'!H276</f>
        <v>6</v>
      </c>
      <c r="F67" s="12">
        <f t="shared" si="8"/>
        <v>486.06</v>
      </c>
      <c r="G67" s="12">
        <f t="shared" si="9"/>
        <v>2916.36</v>
      </c>
      <c r="H67" s="259">
        <v>409.9</v>
      </c>
      <c r="I67" s="259">
        <f t="shared" si="5"/>
        <v>486.06</v>
      </c>
      <c r="J67" s="135"/>
    </row>
    <row r="68" spans="1:12" s="13" customFormat="1" ht="12.75" customHeight="1">
      <c r="A68" s="60"/>
      <c r="B68" s="60"/>
      <c r="C68" s="8" t="s">
        <v>439</v>
      </c>
      <c r="D68" s="60"/>
      <c r="E68" s="60"/>
      <c r="F68" s="60"/>
      <c r="G68" s="133">
        <f>SUM(G62:G67)</f>
        <v>21235.060000000005</v>
      </c>
      <c r="H68" s="139"/>
      <c r="I68" s="259">
        <f t="shared" si="5"/>
        <v>0</v>
      </c>
      <c r="J68" s="135"/>
      <c r="K68" s="136"/>
      <c r="L68" s="136"/>
    </row>
    <row r="69" spans="1:10" ht="12.75">
      <c r="A69" s="15"/>
      <c r="B69" s="15"/>
      <c r="C69" s="15"/>
      <c r="D69" s="16"/>
      <c r="E69" s="126"/>
      <c r="F69" s="17"/>
      <c r="G69" s="154"/>
      <c r="H69" s="139"/>
      <c r="I69" s="259">
        <f t="shared" si="5"/>
        <v>0</v>
      </c>
      <c r="J69" s="135">
        <f>G141-G68</f>
        <v>279762.43999999994</v>
      </c>
    </row>
    <row r="70" spans="1:10" ht="12.75">
      <c r="A70" s="15"/>
      <c r="B70" s="15"/>
      <c r="C70" s="15" t="s">
        <v>120</v>
      </c>
      <c r="D70" s="16"/>
      <c r="E70" s="126"/>
      <c r="F70" s="17"/>
      <c r="G70" s="154">
        <f>G24+G32+G59+G68</f>
        <v>210927.73999999996</v>
      </c>
      <c r="H70" s="139"/>
      <c r="I70" s="259">
        <f t="shared" si="5"/>
        <v>0</v>
      </c>
      <c r="J70" s="135"/>
    </row>
    <row r="71" spans="1:10" ht="12.75">
      <c r="A71" s="15"/>
      <c r="B71" s="15"/>
      <c r="C71" s="15"/>
      <c r="D71" s="16"/>
      <c r="E71" s="126"/>
      <c r="F71" s="17"/>
      <c r="G71" s="154"/>
      <c r="H71" s="139"/>
      <c r="I71" s="259">
        <f t="shared" si="5"/>
        <v>0</v>
      </c>
      <c r="J71" s="135"/>
    </row>
    <row r="72" spans="1:10" ht="12.75">
      <c r="A72" s="21" t="s">
        <v>25</v>
      </c>
      <c r="B72" s="22"/>
      <c r="C72" s="23" t="s">
        <v>293</v>
      </c>
      <c r="D72" s="22"/>
      <c r="E72" s="303"/>
      <c r="F72" s="24"/>
      <c r="G72" s="25"/>
      <c r="H72" s="127"/>
      <c r="I72" s="259">
        <f t="shared" si="5"/>
        <v>0</v>
      </c>
      <c r="J72" s="135"/>
    </row>
    <row r="73" spans="1:10" ht="12.75">
      <c r="A73" s="21" t="s">
        <v>26</v>
      </c>
      <c r="B73" s="22"/>
      <c r="C73" s="23" t="s">
        <v>294</v>
      </c>
      <c r="D73" s="22"/>
      <c r="E73" s="303"/>
      <c r="F73" s="24"/>
      <c r="G73" s="25"/>
      <c r="H73" s="127"/>
      <c r="I73" s="259">
        <f t="shared" si="5"/>
        <v>0</v>
      </c>
      <c r="J73" s="135"/>
    </row>
    <row r="74" spans="1:10" ht="25.5">
      <c r="A74" s="260" t="s">
        <v>295</v>
      </c>
      <c r="B74" s="155" t="s">
        <v>129</v>
      </c>
      <c r="C74" s="285" t="s">
        <v>250</v>
      </c>
      <c r="D74" s="167" t="s">
        <v>30</v>
      </c>
      <c r="E74" s="121">
        <f>'MEMORIA DO ORÇAMENTO BASE'!H282</f>
        <v>0.77</v>
      </c>
      <c r="F74" s="12">
        <f>I74</f>
        <v>99.82</v>
      </c>
      <c r="G74" s="12">
        <f>ROUND(F74*E74,2)</f>
        <v>76.86</v>
      </c>
      <c r="H74" s="261">
        <v>84.18</v>
      </c>
      <c r="I74" s="259">
        <f t="shared" si="5"/>
        <v>99.82</v>
      </c>
      <c r="J74" s="135"/>
    </row>
    <row r="75" spans="1:11" ht="25.5">
      <c r="A75" s="260" t="s">
        <v>296</v>
      </c>
      <c r="B75" s="36" t="s">
        <v>130</v>
      </c>
      <c r="C75" s="6" t="s">
        <v>126</v>
      </c>
      <c r="D75" s="5" t="s">
        <v>29</v>
      </c>
      <c r="E75" s="121">
        <f>'MEMORIA DO ORÇAMENTO BASE'!H286</f>
        <v>1.28</v>
      </c>
      <c r="F75" s="12">
        <f>I75</f>
        <v>37.67</v>
      </c>
      <c r="G75" s="12">
        <f>ROUND(F75*E75,2)</f>
        <v>48.22</v>
      </c>
      <c r="H75" s="261">
        <v>31.77</v>
      </c>
      <c r="I75" s="259">
        <f t="shared" si="5"/>
        <v>37.67</v>
      </c>
      <c r="J75" s="135">
        <f>7*15.5</f>
        <v>108.5</v>
      </c>
      <c r="K75" s="136">
        <f>J75*8</f>
        <v>868</v>
      </c>
    </row>
    <row r="76" spans="1:11" ht="12.75">
      <c r="A76" s="263"/>
      <c r="B76" s="263"/>
      <c r="C76" s="264" t="s">
        <v>297</v>
      </c>
      <c r="D76" s="263"/>
      <c r="E76" s="263"/>
      <c r="F76" s="263"/>
      <c r="G76" s="304">
        <f>SUM(G74:G75)</f>
        <v>125.08</v>
      </c>
      <c r="H76" s="140"/>
      <c r="I76" s="259">
        <f t="shared" si="5"/>
        <v>0</v>
      </c>
      <c r="J76" s="135"/>
      <c r="K76" s="136">
        <f>J75*11</f>
        <v>1193.5</v>
      </c>
    </row>
    <row r="77" spans="1:11" ht="12.75">
      <c r="A77" s="266"/>
      <c r="B77" s="264"/>
      <c r="C77" s="267"/>
      <c r="D77" s="264"/>
      <c r="E77" s="305"/>
      <c r="F77" s="306"/>
      <c r="G77" s="307"/>
      <c r="H77" s="127"/>
      <c r="I77" s="259">
        <f t="shared" si="5"/>
        <v>0</v>
      </c>
      <c r="J77" s="135"/>
      <c r="K77" s="136">
        <f>K75+K76</f>
        <v>2061.5</v>
      </c>
    </row>
    <row r="78" spans="1:11" ht="12.75">
      <c r="A78" s="21" t="s">
        <v>101</v>
      </c>
      <c r="B78" s="22"/>
      <c r="C78" s="23" t="s">
        <v>298</v>
      </c>
      <c r="D78" s="22"/>
      <c r="E78" s="303"/>
      <c r="F78" s="24"/>
      <c r="G78" s="25"/>
      <c r="H78" s="127"/>
      <c r="I78" s="259">
        <f t="shared" si="5"/>
        <v>0</v>
      </c>
      <c r="J78" s="135"/>
      <c r="K78" s="136">
        <f>K77+240</f>
        <v>2301.5</v>
      </c>
    </row>
    <row r="79" spans="1:10" ht="38.25">
      <c r="A79" s="260" t="s">
        <v>299</v>
      </c>
      <c r="B79" s="36" t="s">
        <v>170</v>
      </c>
      <c r="C79" s="6" t="s">
        <v>251</v>
      </c>
      <c r="D79" s="5" t="s">
        <v>30</v>
      </c>
      <c r="E79" s="121">
        <f>'MEMORIA DO ORÇAMENTO BASE'!H292</f>
        <v>0.96</v>
      </c>
      <c r="F79" s="12">
        <f aca="true" t="shared" si="10" ref="F79:F86">I79</f>
        <v>3173.69</v>
      </c>
      <c r="G79" s="12">
        <f aca="true" t="shared" si="11" ref="G79:G86">ROUND(F79*E79,2)</f>
        <v>3046.74</v>
      </c>
      <c r="H79" s="261">
        <f>COMPOSIÇÕES!H30</f>
        <v>2676.41</v>
      </c>
      <c r="I79" s="259">
        <f t="shared" si="5"/>
        <v>3173.69</v>
      </c>
      <c r="J79" s="135"/>
    </row>
    <row r="80" spans="1:10" ht="12.75">
      <c r="A80" s="260" t="s">
        <v>300</v>
      </c>
      <c r="B80" s="36" t="s">
        <v>337</v>
      </c>
      <c r="C80" s="6" t="s">
        <v>334</v>
      </c>
      <c r="D80" s="5" t="s">
        <v>30</v>
      </c>
      <c r="E80" s="121">
        <f>'MEMORIA DO ORÇAMENTO BASE'!H298</f>
        <v>0.44999999999999996</v>
      </c>
      <c r="F80" s="12">
        <f t="shared" si="10"/>
        <v>25.42</v>
      </c>
      <c r="G80" s="12">
        <f t="shared" si="11"/>
        <v>11.44</v>
      </c>
      <c r="H80" s="261">
        <v>21.44</v>
      </c>
      <c r="I80" s="259">
        <f aca="true" t="shared" si="12" ref="I80:I99">ROUND((H80*$I$7),2)</f>
        <v>25.42</v>
      </c>
      <c r="J80" s="135"/>
    </row>
    <row r="81" spans="1:10" ht="25.5">
      <c r="A81" s="260" t="s">
        <v>301</v>
      </c>
      <c r="B81" s="155" t="s">
        <v>460</v>
      </c>
      <c r="C81" s="6" t="s">
        <v>459</v>
      </c>
      <c r="D81" s="167" t="s">
        <v>103</v>
      </c>
      <c r="E81" s="121">
        <f>'MEMORIA DO ORÇAMENTO BASE'!H302</f>
        <v>14.4</v>
      </c>
      <c r="F81" s="12">
        <f t="shared" si="10"/>
        <v>70.2</v>
      </c>
      <c r="G81" s="12">
        <f t="shared" si="11"/>
        <v>1010.88</v>
      </c>
      <c r="H81" s="261">
        <v>59.2</v>
      </c>
      <c r="I81" s="259">
        <f t="shared" si="12"/>
        <v>70.2</v>
      </c>
      <c r="J81" s="135"/>
    </row>
    <row r="82" spans="1:10" ht="25.5">
      <c r="A82" s="260" t="s">
        <v>304</v>
      </c>
      <c r="B82" s="36" t="s">
        <v>463</v>
      </c>
      <c r="C82" s="6" t="s">
        <v>462</v>
      </c>
      <c r="D82" s="5" t="s">
        <v>35</v>
      </c>
      <c r="E82" s="122">
        <f>'MEMORIA DO ORÇAMENTO BASE'!H306</f>
        <v>8</v>
      </c>
      <c r="F82" s="12">
        <f t="shared" si="10"/>
        <v>14.99</v>
      </c>
      <c r="G82" s="12">
        <f t="shared" si="11"/>
        <v>119.92</v>
      </c>
      <c r="H82" s="308">
        <v>12.64</v>
      </c>
      <c r="I82" s="259">
        <f>ROUND((H82*$I$7),2)</f>
        <v>14.99</v>
      </c>
      <c r="J82" s="135"/>
    </row>
    <row r="83" spans="1:10" ht="38.25">
      <c r="A83" s="260" t="s">
        <v>305</v>
      </c>
      <c r="B83" s="155" t="s">
        <v>132</v>
      </c>
      <c r="C83" s="265" t="s">
        <v>104</v>
      </c>
      <c r="D83" s="155" t="s">
        <v>29</v>
      </c>
      <c r="E83" s="122">
        <f>'MEMORIA DO ORÇAMENTO BASE'!H310</f>
        <v>8</v>
      </c>
      <c r="F83" s="12">
        <f t="shared" si="10"/>
        <v>5.19</v>
      </c>
      <c r="G83" s="12">
        <f t="shared" si="11"/>
        <v>41.52</v>
      </c>
      <c r="H83" s="259">
        <v>4.38</v>
      </c>
      <c r="I83" s="259">
        <f t="shared" si="12"/>
        <v>5.19</v>
      </c>
      <c r="J83" s="135"/>
    </row>
    <row r="84" spans="1:10" ht="51">
      <c r="A84" s="260" t="s">
        <v>306</v>
      </c>
      <c r="B84" s="155" t="s">
        <v>245</v>
      </c>
      <c r="C84" s="265" t="s">
        <v>307</v>
      </c>
      <c r="D84" s="155" t="s">
        <v>29</v>
      </c>
      <c r="E84" s="122">
        <f>'MEMORIA DO ORÇAMENTO BASE'!H314</f>
        <v>8</v>
      </c>
      <c r="F84" s="12">
        <f t="shared" si="10"/>
        <v>49.15</v>
      </c>
      <c r="G84" s="12">
        <f t="shared" si="11"/>
        <v>393.2</v>
      </c>
      <c r="H84" s="308">
        <v>41.45</v>
      </c>
      <c r="I84" s="259">
        <f t="shared" si="12"/>
        <v>49.15</v>
      </c>
      <c r="J84" s="135">
        <f>G70*2</f>
        <v>421855.4799999999</v>
      </c>
    </row>
    <row r="85" spans="1:10" ht="25.5">
      <c r="A85" s="260" t="s">
        <v>308</v>
      </c>
      <c r="B85" s="36" t="s">
        <v>171</v>
      </c>
      <c r="C85" s="248" t="s">
        <v>465</v>
      </c>
      <c r="D85" s="5" t="s">
        <v>29</v>
      </c>
      <c r="E85" s="122">
        <f>'MEMORIA DO ORÇAMENTO BASE'!H318</f>
        <v>2.25</v>
      </c>
      <c r="F85" s="12">
        <f t="shared" si="10"/>
        <v>769.83</v>
      </c>
      <c r="G85" s="12">
        <f t="shared" si="11"/>
        <v>1732.12</v>
      </c>
      <c r="H85" s="308">
        <f>COMPOSIÇÕES!H108</f>
        <v>649.21</v>
      </c>
      <c r="I85" s="259">
        <f t="shared" si="12"/>
        <v>769.83</v>
      </c>
      <c r="J85" s="135"/>
    </row>
    <row r="86" spans="1:10" ht="25.5">
      <c r="A86" s="260" t="s">
        <v>309</v>
      </c>
      <c r="B86" s="36" t="s">
        <v>310</v>
      </c>
      <c r="C86" s="6" t="s">
        <v>311</v>
      </c>
      <c r="D86" s="5" t="s">
        <v>29</v>
      </c>
      <c r="E86" s="140">
        <f>'MEMORIA DO ORÇAMENTO BASE'!H323</f>
        <v>23.119999999999997</v>
      </c>
      <c r="F86" s="12">
        <f t="shared" si="10"/>
        <v>2.12</v>
      </c>
      <c r="G86" s="12">
        <f t="shared" si="11"/>
        <v>49.01</v>
      </c>
      <c r="H86" s="308">
        <v>1.79</v>
      </c>
      <c r="I86" s="259">
        <f t="shared" si="12"/>
        <v>2.12</v>
      </c>
      <c r="J86" s="135"/>
    </row>
    <row r="87" spans="1:10" ht="12.75">
      <c r="A87" s="263"/>
      <c r="B87" s="263"/>
      <c r="C87" s="264" t="s">
        <v>312</v>
      </c>
      <c r="D87" s="263"/>
      <c r="E87" s="263"/>
      <c r="F87" s="263"/>
      <c r="G87" s="304">
        <f>SUM(G79:G86)</f>
        <v>6404.83</v>
      </c>
      <c r="H87" s="259"/>
      <c r="I87" s="259">
        <f t="shared" si="12"/>
        <v>0</v>
      </c>
      <c r="J87" s="135"/>
    </row>
    <row r="88" spans="1:10" ht="12.75">
      <c r="A88" s="266"/>
      <c r="B88" s="264"/>
      <c r="C88" s="267"/>
      <c r="D88" s="264"/>
      <c r="E88" s="305"/>
      <c r="F88" s="306"/>
      <c r="G88" s="307"/>
      <c r="H88" s="127"/>
      <c r="I88" s="259">
        <f t="shared" si="12"/>
        <v>0</v>
      </c>
      <c r="J88" s="135"/>
    </row>
    <row r="89" spans="1:10" ht="12.75">
      <c r="A89" s="21" t="s">
        <v>111</v>
      </c>
      <c r="B89" s="22"/>
      <c r="C89" s="23" t="s">
        <v>313</v>
      </c>
      <c r="D89" s="22"/>
      <c r="E89" s="303"/>
      <c r="F89" s="24"/>
      <c r="G89" s="25"/>
      <c r="H89" s="127"/>
      <c r="I89" s="259">
        <f t="shared" si="12"/>
        <v>0</v>
      </c>
      <c r="J89" s="135"/>
    </row>
    <row r="90" spans="1:10" ht="38.25">
      <c r="A90" s="260" t="s">
        <v>314</v>
      </c>
      <c r="B90" s="5" t="s">
        <v>482</v>
      </c>
      <c r="C90" s="6" t="s">
        <v>481</v>
      </c>
      <c r="D90" s="5" t="s">
        <v>29</v>
      </c>
      <c r="E90" s="121">
        <f>'MEMORIA DO ORÇAMENTO BASE'!H328</f>
        <v>15</v>
      </c>
      <c r="F90" s="12">
        <f>I90</f>
        <v>102.13</v>
      </c>
      <c r="G90" s="12">
        <f>ROUND(F90*E90,2)</f>
        <v>1531.95</v>
      </c>
      <c r="H90" s="259">
        <v>86.13</v>
      </c>
      <c r="I90" s="259">
        <f t="shared" si="12"/>
        <v>102.13</v>
      </c>
      <c r="J90" s="135"/>
    </row>
    <row r="91" spans="1:10" ht="25.5">
      <c r="A91" s="260" t="s">
        <v>176</v>
      </c>
      <c r="B91" s="5" t="s">
        <v>484</v>
      </c>
      <c r="C91" s="6" t="s">
        <v>483</v>
      </c>
      <c r="D91" s="5" t="s">
        <v>29</v>
      </c>
      <c r="E91" s="121">
        <f>'MEMORIA DO ORÇAMENTO BASE'!H332</f>
        <v>15</v>
      </c>
      <c r="F91" s="12">
        <f>I91</f>
        <v>43.14</v>
      </c>
      <c r="G91" s="12">
        <f>ROUND(F91*E91,2)</f>
        <v>647.1</v>
      </c>
      <c r="H91" s="259">
        <v>36.38</v>
      </c>
      <c r="I91" s="259">
        <f t="shared" si="12"/>
        <v>43.14</v>
      </c>
      <c r="J91" s="135"/>
    </row>
    <row r="92" spans="1:10" ht="12.75">
      <c r="A92" s="263"/>
      <c r="B92" s="263"/>
      <c r="C92" s="264" t="s">
        <v>315</v>
      </c>
      <c r="D92" s="263"/>
      <c r="E92" s="263"/>
      <c r="F92" s="263"/>
      <c r="G92" s="304">
        <f>SUM(G90:G91)</f>
        <v>2179.05</v>
      </c>
      <c r="H92" s="140"/>
      <c r="I92" s="259">
        <f t="shared" si="12"/>
        <v>0</v>
      </c>
      <c r="J92" s="135"/>
    </row>
    <row r="93" spans="1:10" ht="12.75">
      <c r="A93" s="266"/>
      <c r="B93" s="264"/>
      <c r="C93" s="267"/>
      <c r="D93" s="264"/>
      <c r="E93" s="305"/>
      <c r="F93" s="306"/>
      <c r="G93" s="307"/>
      <c r="H93" s="127"/>
      <c r="I93" s="259">
        <f t="shared" si="12"/>
        <v>0</v>
      </c>
      <c r="J93" s="135"/>
    </row>
    <row r="94" spans="1:10" ht="12.75">
      <c r="A94" s="21" t="s">
        <v>316</v>
      </c>
      <c r="B94" s="22"/>
      <c r="C94" s="23" t="s">
        <v>317</v>
      </c>
      <c r="D94" s="22"/>
      <c r="E94" s="303"/>
      <c r="F94" s="24"/>
      <c r="G94" s="25"/>
      <c r="H94" s="127"/>
      <c r="I94" s="259">
        <f t="shared" si="12"/>
        <v>0</v>
      </c>
      <c r="J94" s="135"/>
    </row>
    <row r="95" spans="1:10" ht="25.5">
      <c r="A95" s="260" t="s">
        <v>318</v>
      </c>
      <c r="B95" s="155" t="s">
        <v>199</v>
      </c>
      <c r="C95" s="265" t="s">
        <v>319</v>
      </c>
      <c r="D95" s="155" t="s">
        <v>29</v>
      </c>
      <c r="E95" s="121">
        <f>'MEMORIA DO ORÇAMENTO BASE'!H338</f>
        <v>10.25</v>
      </c>
      <c r="F95" s="12">
        <f>I95</f>
        <v>14.91</v>
      </c>
      <c r="G95" s="12">
        <f>ROUND(F95*E95,2)</f>
        <v>152.83</v>
      </c>
      <c r="H95" s="261">
        <v>12.57</v>
      </c>
      <c r="I95" s="259">
        <f t="shared" si="12"/>
        <v>14.91</v>
      </c>
      <c r="J95" s="135"/>
    </row>
    <row r="96" spans="1:10" ht="25.5">
      <c r="A96" s="260" t="s">
        <v>320</v>
      </c>
      <c r="B96" s="36" t="s">
        <v>148</v>
      </c>
      <c r="C96" s="6" t="s">
        <v>147</v>
      </c>
      <c r="D96" s="5" t="s">
        <v>29</v>
      </c>
      <c r="E96" s="309">
        <f>'MEMORIA DO ORÇAMENTO BASE'!H343</f>
        <v>23.119999999999997</v>
      </c>
      <c r="F96" s="12">
        <f>I96</f>
        <v>24.21</v>
      </c>
      <c r="G96" s="12">
        <f>ROUND(F96*E96,2)</f>
        <v>559.74</v>
      </c>
      <c r="H96" s="308">
        <v>20.42</v>
      </c>
      <c r="I96" s="259">
        <f t="shared" si="12"/>
        <v>24.21</v>
      </c>
      <c r="J96" s="135"/>
    </row>
    <row r="97" spans="1:10" ht="12.75">
      <c r="A97" s="263"/>
      <c r="B97" s="263"/>
      <c r="C97" s="264" t="s">
        <v>321</v>
      </c>
      <c r="D97" s="263"/>
      <c r="E97" s="263"/>
      <c r="F97" s="263"/>
      <c r="G97" s="304">
        <f>SUM(G95:G96)</f>
        <v>712.57</v>
      </c>
      <c r="H97" s="140"/>
      <c r="I97" s="259">
        <f t="shared" si="12"/>
        <v>0</v>
      </c>
      <c r="J97" s="135"/>
    </row>
    <row r="98" spans="1:10" ht="12.75">
      <c r="A98" s="262"/>
      <c r="B98" s="36"/>
      <c r="C98" s="310"/>
      <c r="D98" s="36"/>
      <c r="E98" s="122"/>
      <c r="F98" s="311"/>
      <c r="G98" s="312"/>
      <c r="H98" s="127"/>
      <c r="I98" s="259">
        <f t="shared" si="12"/>
        <v>0</v>
      </c>
      <c r="J98" s="135"/>
    </row>
    <row r="99" spans="1:10" ht="12.75">
      <c r="A99" s="263"/>
      <c r="B99" s="263"/>
      <c r="C99" s="264" t="s">
        <v>322</v>
      </c>
      <c r="D99" s="263"/>
      <c r="E99" s="263"/>
      <c r="F99" s="263"/>
      <c r="G99" s="304">
        <f>G76+G87+G92+G97</f>
        <v>9421.529999999999</v>
      </c>
      <c r="H99" s="127"/>
      <c r="I99" s="259">
        <f t="shared" si="12"/>
        <v>0</v>
      </c>
      <c r="J99" s="135"/>
    </row>
    <row r="100" spans="1:10" ht="12.75">
      <c r="A100" s="15"/>
      <c r="B100" s="15"/>
      <c r="C100" s="15"/>
      <c r="D100" s="16"/>
      <c r="E100" s="126"/>
      <c r="F100" s="17"/>
      <c r="G100" s="154"/>
      <c r="H100" s="139"/>
      <c r="I100" s="44"/>
      <c r="J100" s="135"/>
    </row>
    <row r="101" spans="1:10" ht="12.75">
      <c r="A101" s="21" t="s">
        <v>27</v>
      </c>
      <c r="B101" s="22"/>
      <c r="C101" s="23" t="s">
        <v>492</v>
      </c>
      <c r="D101" s="57"/>
      <c r="E101" s="125"/>
      <c r="F101" s="24"/>
      <c r="G101" s="25"/>
      <c r="H101" s="115"/>
      <c r="I101" s="115"/>
      <c r="J101" s="135"/>
    </row>
    <row r="102" spans="1:10" ht="12.75">
      <c r="A102" s="21" t="s">
        <v>28</v>
      </c>
      <c r="B102" s="22"/>
      <c r="C102" s="23" t="s">
        <v>351</v>
      </c>
      <c r="D102" s="57"/>
      <c r="E102" s="125"/>
      <c r="F102" s="24"/>
      <c r="G102" s="25"/>
      <c r="H102" s="138"/>
      <c r="I102" s="44">
        <f aca="true" t="shared" si="13" ref="I102:I108">ROUND((H102*$I$7),2)</f>
        <v>0</v>
      </c>
      <c r="J102" s="135"/>
    </row>
    <row r="103" spans="1:10" ht="25.5">
      <c r="A103" s="64" t="s">
        <v>177</v>
      </c>
      <c r="B103" s="171" t="s">
        <v>129</v>
      </c>
      <c r="C103" s="61" t="s">
        <v>122</v>
      </c>
      <c r="D103" s="171" t="s">
        <v>30</v>
      </c>
      <c r="E103" s="122">
        <f>'MEMORIA DO ORÇAMENTO BASE'!H349</f>
        <v>2.1</v>
      </c>
      <c r="F103" s="12">
        <f aca="true" t="shared" si="14" ref="F103:F111">I103</f>
        <v>99.82</v>
      </c>
      <c r="G103" s="12">
        <f aca="true" t="shared" si="15" ref="G103:G111">ROUND(F103*E103,2)</f>
        <v>209.62</v>
      </c>
      <c r="H103" s="127">
        <v>84.18</v>
      </c>
      <c r="I103" s="44">
        <f t="shared" si="13"/>
        <v>99.82</v>
      </c>
      <c r="J103" s="135"/>
    </row>
    <row r="104" spans="1:10" ht="25.5">
      <c r="A104" s="64" t="s">
        <v>178</v>
      </c>
      <c r="B104" s="36" t="s">
        <v>130</v>
      </c>
      <c r="C104" s="6" t="s">
        <v>126</v>
      </c>
      <c r="D104" s="5" t="s">
        <v>29</v>
      </c>
      <c r="E104" s="121">
        <f>'MEMORIA DO ORÇAMENTO BASE'!H353</f>
        <v>3.5</v>
      </c>
      <c r="F104" s="12">
        <f t="shared" si="14"/>
        <v>37.67</v>
      </c>
      <c r="G104" s="12">
        <f t="shared" si="15"/>
        <v>131.85</v>
      </c>
      <c r="H104" s="139">
        <v>31.77</v>
      </c>
      <c r="I104" s="44">
        <f t="shared" si="13"/>
        <v>37.67</v>
      </c>
      <c r="J104" s="135"/>
    </row>
    <row r="105" spans="1:10" ht="38.25">
      <c r="A105" s="64" t="s">
        <v>179</v>
      </c>
      <c r="B105" s="36" t="s">
        <v>138</v>
      </c>
      <c r="C105" s="6" t="s">
        <v>133</v>
      </c>
      <c r="D105" s="5" t="s">
        <v>29</v>
      </c>
      <c r="E105" s="121">
        <f>'MEMORIA DO ORÇAMENTO BASE'!H357</f>
        <v>2.34</v>
      </c>
      <c r="F105" s="12">
        <f t="shared" si="14"/>
        <v>235.96</v>
      </c>
      <c r="G105" s="12">
        <f t="shared" si="15"/>
        <v>552.15</v>
      </c>
      <c r="H105" s="139">
        <v>198.99</v>
      </c>
      <c r="I105" s="44">
        <f t="shared" si="13"/>
        <v>235.96</v>
      </c>
      <c r="J105" s="135"/>
    </row>
    <row r="106" spans="1:10" ht="38.25">
      <c r="A106" s="64" t="s">
        <v>180</v>
      </c>
      <c r="B106" s="36" t="s">
        <v>139</v>
      </c>
      <c r="C106" s="6" t="s">
        <v>134</v>
      </c>
      <c r="D106" s="5" t="s">
        <v>29</v>
      </c>
      <c r="E106" s="121">
        <f>'MEMORIA DO ORÇAMENTO BASE'!H362</f>
        <v>13.23</v>
      </c>
      <c r="F106" s="12">
        <f t="shared" si="14"/>
        <v>86.41</v>
      </c>
      <c r="G106" s="12">
        <f t="shared" si="15"/>
        <v>1143.2</v>
      </c>
      <c r="H106" s="139">
        <v>72.87</v>
      </c>
      <c r="I106" s="44">
        <f t="shared" si="13"/>
        <v>86.41</v>
      </c>
      <c r="J106" s="135"/>
    </row>
    <row r="107" spans="1:10" ht="38.25">
      <c r="A107" s="64" t="s">
        <v>181</v>
      </c>
      <c r="B107" s="36" t="s">
        <v>329</v>
      </c>
      <c r="C107" s="6" t="s">
        <v>328</v>
      </c>
      <c r="D107" s="5" t="s">
        <v>106</v>
      </c>
      <c r="E107" s="121">
        <f>'MEMORIA DO ORÇAMENTO BASE'!H366</f>
        <v>25</v>
      </c>
      <c r="F107" s="12">
        <f t="shared" si="14"/>
        <v>18.63</v>
      </c>
      <c r="G107" s="12">
        <f t="shared" si="15"/>
        <v>465.75</v>
      </c>
      <c r="H107" s="139">
        <v>15.71</v>
      </c>
      <c r="I107" s="44">
        <f t="shared" si="13"/>
        <v>18.63</v>
      </c>
      <c r="J107" s="135"/>
    </row>
    <row r="108" spans="1:10" ht="38.25">
      <c r="A108" s="64" t="s">
        <v>182</v>
      </c>
      <c r="B108" s="36" t="s">
        <v>142</v>
      </c>
      <c r="C108" s="6" t="s">
        <v>137</v>
      </c>
      <c r="D108" s="5" t="s">
        <v>106</v>
      </c>
      <c r="E108" s="121">
        <f>'MEMORIA DO ORÇAMENTO BASE'!H370</f>
        <v>93</v>
      </c>
      <c r="F108" s="12">
        <f t="shared" si="14"/>
        <v>15.49</v>
      </c>
      <c r="G108" s="12">
        <f t="shared" si="15"/>
        <v>1440.57</v>
      </c>
      <c r="H108" s="139">
        <v>13.06</v>
      </c>
      <c r="I108" s="44">
        <f t="shared" si="13"/>
        <v>15.49</v>
      </c>
      <c r="J108" s="135"/>
    </row>
    <row r="109" spans="1:10" ht="38.25">
      <c r="A109" s="64" t="s">
        <v>183</v>
      </c>
      <c r="B109" s="36" t="s">
        <v>140</v>
      </c>
      <c r="C109" s="6" t="s">
        <v>135</v>
      </c>
      <c r="D109" s="5" t="s">
        <v>30</v>
      </c>
      <c r="E109" s="121">
        <f>'MEMORIA DO ORÇAMENTO BASE'!H376</f>
        <v>3.05</v>
      </c>
      <c r="F109" s="12">
        <f t="shared" si="14"/>
        <v>605.86</v>
      </c>
      <c r="G109" s="12">
        <f t="shared" si="15"/>
        <v>1847.87</v>
      </c>
      <c r="H109" s="139">
        <v>510.93</v>
      </c>
      <c r="I109" s="44">
        <f>ROUND((H109*$I$7),2)</f>
        <v>605.86</v>
      </c>
      <c r="J109" s="135"/>
    </row>
    <row r="110" spans="1:10" ht="25.5">
      <c r="A110" s="64" t="s">
        <v>184</v>
      </c>
      <c r="B110" s="36" t="s">
        <v>141</v>
      </c>
      <c r="C110" s="6" t="s">
        <v>136</v>
      </c>
      <c r="D110" s="5" t="s">
        <v>30</v>
      </c>
      <c r="E110" s="121">
        <f>'MEMORIA DO ORÇAMENTO BASE'!H382</f>
        <v>3.05</v>
      </c>
      <c r="F110" s="12">
        <f t="shared" si="14"/>
        <v>48.12</v>
      </c>
      <c r="G110" s="12">
        <f t="shared" si="15"/>
        <v>146.77</v>
      </c>
      <c r="H110" s="139">
        <v>40.58</v>
      </c>
      <c r="I110" s="44">
        <f>ROUND((H110*$I$7),2)</f>
        <v>48.12</v>
      </c>
      <c r="J110" s="135"/>
    </row>
    <row r="111" spans="1:10" ht="12.75">
      <c r="A111" s="64" t="s">
        <v>185</v>
      </c>
      <c r="B111" s="36" t="s">
        <v>337</v>
      </c>
      <c r="C111" s="6" t="s">
        <v>334</v>
      </c>
      <c r="D111" s="5" t="s">
        <v>30</v>
      </c>
      <c r="E111" s="121">
        <f>'MEMORIA DO ORÇAMENTO BASE'!H387</f>
        <v>0.75</v>
      </c>
      <c r="F111" s="12">
        <f t="shared" si="14"/>
        <v>25.42</v>
      </c>
      <c r="G111" s="12">
        <f t="shared" si="15"/>
        <v>19.07</v>
      </c>
      <c r="H111" s="139">
        <v>21.44</v>
      </c>
      <c r="I111" s="44">
        <f aca="true" t="shared" si="16" ref="I111:I122">ROUND((H111*$I$7),2)</f>
        <v>25.42</v>
      </c>
      <c r="J111" s="135"/>
    </row>
    <row r="112" spans="1:10" ht="12.75">
      <c r="A112" s="60"/>
      <c r="B112" s="60"/>
      <c r="C112" s="8" t="s">
        <v>196</v>
      </c>
      <c r="D112" s="60"/>
      <c r="E112" s="60"/>
      <c r="F112" s="60"/>
      <c r="G112" s="133">
        <f>SUM(G103:G111)</f>
        <v>5956.85</v>
      </c>
      <c r="H112" s="139"/>
      <c r="I112" s="44">
        <f t="shared" si="16"/>
        <v>0</v>
      </c>
      <c r="J112" s="135"/>
    </row>
    <row r="113" spans="1:10" ht="12.75">
      <c r="A113" s="15"/>
      <c r="B113" s="15"/>
      <c r="C113" s="15"/>
      <c r="D113" s="16"/>
      <c r="E113" s="126"/>
      <c r="F113" s="17"/>
      <c r="G113" s="154"/>
      <c r="H113" s="139"/>
      <c r="I113" s="44">
        <f t="shared" si="16"/>
        <v>0</v>
      </c>
      <c r="J113" s="135"/>
    </row>
    <row r="114" spans="1:10" ht="12.75">
      <c r="A114" s="21" t="s">
        <v>34</v>
      </c>
      <c r="B114" s="22"/>
      <c r="C114" s="23" t="s">
        <v>149</v>
      </c>
      <c r="D114" s="57"/>
      <c r="E114" s="125"/>
      <c r="F114" s="24"/>
      <c r="G114" s="25"/>
      <c r="H114" s="138"/>
      <c r="I114" s="44">
        <f t="shared" si="16"/>
        <v>0</v>
      </c>
      <c r="J114" s="135"/>
    </row>
    <row r="115" spans="1:10" ht="38.25">
      <c r="A115" s="64" t="s">
        <v>186</v>
      </c>
      <c r="B115" s="171" t="s">
        <v>132</v>
      </c>
      <c r="C115" s="65" t="s">
        <v>104</v>
      </c>
      <c r="D115" s="171" t="s">
        <v>29</v>
      </c>
      <c r="E115" s="123">
        <f>'MEMORIA DO ORÇAMENTO BASE'!H394</f>
        <v>13.58</v>
      </c>
      <c r="F115" s="124">
        <f>I115</f>
        <v>5.19</v>
      </c>
      <c r="G115" s="124">
        <f>ROUND(F115*E115,2)</f>
        <v>70.48</v>
      </c>
      <c r="H115" s="44">
        <v>4.38</v>
      </c>
      <c r="I115" s="44">
        <f t="shared" si="16"/>
        <v>5.19</v>
      </c>
      <c r="J115" s="135"/>
    </row>
    <row r="116" spans="1:10" ht="51">
      <c r="A116" s="64" t="s">
        <v>187</v>
      </c>
      <c r="B116" s="36" t="s">
        <v>245</v>
      </c>
      <c r="C116" s="6" t="s">
        <v>244</v>
      </c>
      <c r="D116" s="5" t="s">
        <v>29</v>
      </c>
      <c r="E116" s="123">
        <f>'MEMORIA DO ORÇAMENTO BASE'!H400</f>
        <v>13.58</v>
      </c>
      <c r="F116" s="124">
        <f>I116</f>
        <v>49.15</v>
      </c>
      <c r="G116" s="124">
        <f>ROUND(F116*E116,2)</f>
        <v>667.46</v>
      </c>
      <c r="H116" s="44">
        <v>41.45</v>
      </c>
      <c r="I116" s="44">
        <f t="shared" si="16"/>
        <v>49.15</v>
      </c>
      <c r="J116" s="135"/>
    </row>
    <row r="117" spans="1:10" ht="25.5">
      <c r="A117" s="64" t="s">
        <v>188</v>
      </c>
      <c r="B117" s="36" t="s">
        <v>247</v>
      </c>
      <c r="C117" s="6" t="s">
        <v>246</v>
      </c>
      <c r="D117" s="5" t="s">
        <v>29</v>
      </c>
      <c r="E117" s="123">
        <f>'MEMORIA DO ORÇAMENTO BASE'!H406</f>
        <v>13.58</v>
      </c>
      <c r="F117" s="124">
        <f>I117</f>
        <v>21.72</v>
      </c>
      <c r="G117" s="124">
        <f>ROUND(F117*E117,2)</f>
        <v>294.96</v>
      </c>
      <c r="H117" s="44">
        <v>18.32</v>
      </c>
      <c r="I117" s="44">
        <f t="shared" si="16"/>
        <v>21.72</v>
      </c>
      <c r="J117" s="135"/>
    </row>
    <row r="118" spans="1:10" ht="25.5">
      <c r="A118" s="64" t="s">
        <v>189</v>
      </c>
      <c r="B118" s="36" t="s">
        <v>249</v>
      </c>
      <c r="C118" s="6" t="s">
        <v>248</v>
      </c>
      <c r="D118" s="5" t="s">
        <v>29</v>
      </c>
      <c r="E118" s="123">
        <f>'MEMORIA DO ORÇAMENTO BASE'!H412</f>
        <v>13.58</v>
      </c>
      <c r="F118" s="124">
        <f>I118</f>
        <v>23.46</v>
      </c>
      <c r="G118" s="124">
        <f>ROUND(F118*E118,2)</f>
        <v>318.59</v>
      </c>
      <c r="H118" s="44">
        <v>19.78</v>
      </c>
      <c r="I118" s="44">
        <f t="shared" si="16"/>
        <v>23.46</v>
      </c>
      <c r="J118" s="135"/>
    </row>
    <row r="119" spans="1:10" ht="25.5">
      <c r="A119" s="64" t="s">
        <v>190</v>
      </c>
      <c r="B119" s="358" t="s">
        <v>162</v>
      </c>
      <c r="C119" s="61" t="s">
        <v>360</v>
      </c>
      <c r="D119" s="111" t="s">
        <v>35</v>
      </c>
      <c r="E119" s="318">
        <f>'MEMORIA DO ORÇAMENTO BASE'!H423</f>
        <v>1</v>
      </c>
      <c r="F119" s="12">
        <f>I119</f>
        <v>33202.4</v>
      </c>
      <c r="G119" s="12">
        <f>ROUND(F119*E119,2)</f>
        <v>33202.4</v>
      </c>
      <c r="H119" s="139">
        <v>28000</v>
      </c>
      <c r="I119" s="44">
        <f t="shared" si="16"/>
        <v>33202.4</v>
      </c>
      <c r="J119" s="135"/>
    </row>
    <row r="120" spans="1:10" ht="12.75">
      <c r="A120" s="60"/>
      <c r="B120" s="60"/>
      <c r="C120" s="8" t="s">
        <v>197</v>
      </c>
      <c r="D120" s="60"/>
      <c r="E120" s="60"/>
      <c r="F120" s="60"/>
      <c r="G120" s="133">
        <f>SUM(G115:G119)</f>
        <v>34553.89</v>
      </c>
      <c r="H120" s="139"/>
      <c r="I120" s="44">
        <f t="shared" si="16"/>
        <v>0</v>
      </c>
      <c r="J120" s="135"/>
    </row>
    <row r="121" spans="1:10" ht="12.75">
      <c r="A121" s="15"/>
      <c r="B121" s="15"/>
      <c r="C121" s="15"/>
      <c r="D121" s="16"/>
      <c r="E121" s="126"/>
      <c r="F121" s="17"/>
      <c r="G121" s="154"/>
      <c r="H121" s="139"/>
      <c r="I121" s="44">
        <f t="shared" si="16"/>
        <v>0</v>
      </c>
      <c r="J121" s="135"/>
    </row>
    <row r="122" spans="1:10" ht="12.75">
      <c r="A122" s="21" t="s">
        <v>115</v>
      </c>
      <c r="B122" s="22"/>
      <c r="C122" s="23" t="s">
        <v>502</v>
      </c>
      <c r="D122" s="57"/>
      <c r="E122" s="125"/>
      <c r="F122" s="24"/>
      <c r="G122" s="25"/>
      <c r="H122" s="138"/>
      <c r="I122" s="44">
        <f t="shared" si="16"/>
        <v>0</v>
      </c>
      <c r="J122" s="135"/>
    </row>
    <row r="123" spans="1:10" ht="25.5">
      <c r="A123" s="64" t="s">
        <v>191</v>
      </c>
      <c r="B123" s="36" t="s">
        <v>344</v>
      </c>
      <c r="C123" s="6" t="s">
        <v>343</v>
      </c>
      <c r="D123" s="5" t="s">
        <v>103</v>
      </c>
      <c r="E123" s="121">
        <f>'MEMORIA DO ORÇAMENTO BASE'!H430</f>
        <v>96.35</v>
      </c>
      <c r="F123" s="12">
        <f>I123</f>
        <v>14.19</v>
      </c>
      <c r="G123" s="12">
        <f>ROUND(F123*E123,2)</f>
        <v>1367.21</v>
      </c>
      <c r="H123" s="139">
        <f>COMPOSIÇÕES!H13</f>
        <v>11.97</v>
      </c>
      <c r="I123" s="44">
        <f>ROUND((H123*$I$7),2)</f>
        <v>14.19</v>
      </c>
      <c r="J123" s="135"/>
    </row>
    <row r="124" spans="1:10" ht="38.25">
      <c r="A124" s="64" t="s">
        <v>192</v>
      </c>
      <c r="B124" s="36" t="s">
        <v>350</v>
      </c>
      <c r="C124" s="6" t="s">
        <v>349</v>
      </c>
      <c r="D124" s="5" t="s">
        <v>30</v>
      </c>
      <c r="E124" s="121">
        <f>'MEMORIA DO ORÇAMENTO BASE'!H434</f>
        <v>4.51</v>
      </c>
      <c r="F124" s="12">
        <f>I124</f>
        <v>11.02</v>
      </c>
      <c r="G124" s="12">
        <f>ROUND(F124*E124,2)</f>
        <v>49.7</v>
      </c>
      <c r="H124" s="139">
        <v>9.29</v>
      </c>
      <c r="I124" s="44">
        <f>ROUND((H124*$I$7),2)</f>
        <v>11.02</v>
      </c>
      <c r="J124" s="135"/>
    </row>
    <row r="125" spans="1:10" ht="51">
      <c r="A125" s="64" t="s">
        <v>193</v>
      </c>
      <c r="B125" s="36" t="s">
        <v>366</v>
      </c>
      <c r="C125" s="6" t="s">
        <v>365</v>
      </c>
      <c r="D125" s="5" t="s">
        <v>103</v>
      </c>
      <c r="E125" s="121">
        <f>'MEMORIA DO ORÇAMENTO BASE'!H440</f>
        <v>96.35</v>
      </c>
      <c r="F125" s="12">
        <f>I125</f>
        <v>63.58</v>
      </c>
      <c r="G125" s="12">
        <f>ROUND(F125*E125,2)</f>
        <v>6125.93</v>
      </c>
      <c r="H125" s="139">
        <v>53.62</v>
      </c>
      <c r="I125" s="44">
        <f>ROUND((H125*$I$7),2)</f>
        <v>63.58</v>
      </c>
      <c r="J125" s="135"/>
    </row>
    <row r="126" spans="1:10" ht="25.5">
      <c r="A126" s="64" t="s">
        <v>194</v>
      </c>
      <c r="B126" s="36" t="s">
        <v>214</v>
      </c>
      <c r="C126" s="6" t="s">
        <v>213</v>
      </c>
      <c r="D126" s="5" t="s">
        <v>29</v>
      </c>
      <c r="E126" s="121">
        <f>'MEMORIA DO ORÇAMENTO BASE'!H444</f>
        <v>72.2</v>
      </c>
      <c r="F126" s="12">
        <f>I126</f>
        <v>84.97</v>
      </c>
      <c r="G126" s="12">
        <f>ROUND(F126*E126,2)</f>
        <v>6134.83</v>
      </c>
      <c r="H126" s="139">
        <v>71.66</v>
      </c>
      <c r="I126" s="44">
        <f>ROUND((H126*$I$7),2)</f>
        <v>84.97</v>
      </c>
      <c r="J126" s="135"/>
    </row>
    <row r="127" spans="1:10" ht="25.5">
      <c r="A127" s="64" t="s">
        <v>195</v>
      </c>
      <c r="B127" s="36" t="s">
        <v>369</v>
      </c>
      <c r="C127" s="6" t="s">
        <v>368</v>
      </c>
      <c r="D127" s="5" t="s">
        <v>29</v>
      </c>
      <c r="E127" s="318">
        <f>'MEMORIA DO ORÇAMENTO BASE'!H449</f>
        <v>63.2</v>
      </c>
      <c r="F127" s="12">
        <f>I127</f>
        <v>93.39</v>
      </c>
      <c r="G127" s="12">
        <f>ROUND(F127*E127,2)</f>
        <v>5902.25</v>
      </c>
      <c r="H127" s="139">
        <v>78.76</v>
      </c>
      <c r="I127" s="44">
        <f>ROUND((H127*$I$7),2)</f>
        <v>93.39</v>
      </c>
      <c r="J127" s="135"/>
    </row>
    <row r="128" spans="1:10" ht="12.75">
      <c r="A128" s="60"/>
      <c r="B128" s="60"/>
      <c r="C128" s="8" t="s">
        <v>198</v>
      </c>
      <c r="D128" s="60"/>
      <c r="E128" s="60"/>
      <c r="F128" s="60"/>
      <c r="G128" s="133">
        <f>SUM(G123:G127)</f>
        <v>19579.92</v>
      </c>
      <c r="H128" s="139"/>
      <c r="I128" s="259">
        <f aca="true" t="shared" si="17" ref="I128:I139">ROUND((H128*$I$7),2)</f>
        <v>0</v>
      </c>
      <c r="J128" s="135"/>
    </row>
    <row r="129" spans="1:10" ht="12.75">
      <c r="A129" s="64"/>
      <c r="B129" s="36"/>
      <c r="C129" s="6"/>
      <c r="D129" s="5"/>
      <c r="E129" s="318"/>
      <c r="F129" s="12"/>
      <c r="G129" s="12"/>
      <c r="H129" s="139"/>
      <c r="I129" s="259">
        <f t="shared" si="17"/>
        <v>0</v>
      </c>
      <c r="J129" s="135"/>
    </row>
    <row r="130" spans="1:10" ht="12.75">
      <c r="A130" s="21" t="s">
        <v>494</v>
      </c>
      <c r="B130" s="22"/>
      <c r="C130" s="23" t="s">
        <v>331</v>
      </c>
      <c r="D130" s="57"/>
      <c r="E130" s="125"/>
      <c r="F130" s="24"/>
      <c r="G130" s="25"/>
      <c r="H130" s="139"/>
      <c r="I130" s="259">
        <f t="shared" si="17"/>
        <v>0</v>
      </c>
      <c r="J130" s="135"/>
    </row>
    <row r="131" spans="1:10" ht="25.5">
      <c r="A131" s="64" t="s">
        <v>495</v>
      </c>
      <c r="B131" s="36" t="s">
        <v>257</v>
      </c>
      <c r="C131" s="248" t="s">
        <v>256</v>
      </c>
      <c r="D131" s="155" t="s">
        <v>35</v>
      </c>
      <c r="E131" s="284">
        <f>'MEMORIA DO ORÇAMENTO BASE'!H455</f>
        <v>3</v>
      </c>
      <c r="F131" s="12">
        <f aca="true" t="shared" si="18" ref="F131:F136">I131</f>
        <v>2610.53</v>
      </c>
      <c r="G131" s="12">
        <f aca="true" t="shared" si="19" ref="G131:G136">ROUND(F131*E131,2)</f>
        <v>7831.59</v>
      </c>
      <c r="H131" s="259">
        <v>2201.49</v>
      </c>
      <c r="I131" s="259">
        <f t="shared" si="17"/>
        <v>2610.53</v>
      </c>
      <c r="J131" s="135"/>
    </row>
    <row r="132" spans="1:10" ht="25.5">
      <c r="A132" s="64" t="s">
        <v>496</v>
      </c>
      <c r="B132" s="155" t="s">
        <v>129</v>
      </c>
      <c r="C132" s="285" t="s">
        <v>250</v>
      </c>
      <c r="D132" s="167" t="s">
        <v>30</v>
      </c>
      <c r="E132" s="284">
        <f>'MEMORIA DO ORÇAMENTO BASE'!H459</f>
        <v>0.19</v>
      </c>
      <c r="F132" s="12">
        <f t="shared" si="18"/>
        <v>99.82</v>
      </c>
      <c r="G132" s="12">
        <f t="shared" si="19"/>
        <v>18.97</v>
      </c>
      <c r="H132" s="259">
        <v>84.18</v>
      </c>
      <c r="I132" s="259">
        <f t="shared" si="17"/>
        <v>99.82</v>
      </c>
      <c r="J132" s="135"/>
    </row>
    <row r="133" spans="1:10" ht="38.25">
      <c r="A133" s="64" t="s">
        <v>497</v>
      </c>
      <c r="B133" s="286" t="s">
        <v>170</v>
      </c>
      <c r="C133" s="265" t="s">
        <v>251</v>
      </c>
      <c r="D133" s="155" t="s">
        <v>30</v>
      </c>
      <c r="E133" s="284">
        <f>'MEMORIA DO ORÇAMENTO BASE'!H463</f>
        <v>0.19</v>
      </c>
      <c r="F133" s="12">
        <f t="shared" si="18"/>
        <v>3173.69</v>
      </c>
      <c r="G133" s="12">
        <f t="shared" si="19"/>
        <v>603</v>
      </c>
      <c r="H133" s="259">
        <f>COMPOSIÇÕES!H30</f>
        <v>2676.41</v>
      </c>
      <c r="I133" s="259">
        <f t="shared" si="17"/>
        <v>3173.69</v>
      </c>
      <c r="J133" s="135"/>
    </row>
    <row r="134" spans="1:10" ht="25.5">
      <c r="A134" s="64" t="s">
        <v>498</v>
      </c>
      <c r="B134" s="171" t="s">
        <v>162</v>
      </c>
      <c r="C134" s="61" t="s">
        <v>440</v>
      </c>
      <c r="D134" s="171" t="s">
        <v>35</v>
      </c>
      <c r="E134" s="284">
        <f>'MEMORIA DO ORÇAMENTO BASE'!H467</f>
        <v>3</v>
      </c>
      <c r="F134" s="12">
        <f t="shared" si="18"/>
        <v>3.23</v>
      </c>
      <c r="G134" s="12">
        <f t="shared" si="19"/>
        <v>9.69</v>
      </c>
      <c r="H134" s="259">
        <v>2.72</v>
      </c>
      <c r="I134" s="259">
        <f t="shared" si="17"/>
        <v>3.23</v>
      </c>
      <c r="J134" s="135"/>
    </row>
    <row r="135" spans="1:10" ht="25.5">
      <c r="A135" s="64" t="s">
        <v>499</v>
      </c>
      <c r="B135" s="358" t="s">
        <v>162</v>
      </c>
      <c r="C135" s="61" t="s">
        <v>506</v>
      </c>
      <c r="D135" s="171" t="s">
        <v>35</v>
      </c>
      <c r="E135" s="284">
        <f>'MEMORIA DO ORÇAMENTO BASE'!H471</f>
        <v>12</v>
      </c>
      <c r="F135" s="12">
        <f t="shared" si="18"/>
        <v>741.46</v>
      </c>
      <c r="G135" s="12">
        <f t="shared" si="19"/>
        <v>8897.52</v>
      </c>
      <c r="H135" s="259">
        <v>625.28</v>
      </c>
      <c r="I135" s="259">
        <f t="shared" si="17"/>
        <v>741.46</v>
      </c>
      <c r="J135" s="135"/>
    </row>
    <row r="136" spans="1:10" ht="25.5">
      <c r="A136" s="64" t="s">
        <v>500</v>
      </c>
      <c r="B136" s="358" t="s">
        <v>162</v>
      </c>
      <c r="C136" s="58" t="s">
        <v>441</v>
      </c>
      <c r="D136" s="171" t="s">
        <v>35</v>
      </c>
      <c r="E136" s="284">
        <f>'MEMORIA DO ORÇAMENTO BASE'!H475</f>
        <v>2</v>
      </c>
      <c r="F136" s="12">
        <f t="shared" si="18"/>
        <v>486.06</v>
      </c>
      <c r="G136" s="12">
        <f t="shared" si="19"/>
        <v>972.12</v>
      </c>
      <c r="H136" s="259">
        <v>409.9</v>
      </c>
      <c r="I136" s="259">
        <f t="shared" si="17"/>
        <v>486.06</v>
      </c>
      <c r="J136" s="135"/>
    </row>
    <row r="137" spans="1:10" ht="12.75">
      <c r="A137" s="60"/>
      <c r="B137" s="60"/>
      <c r="C137" s="8" t="s">
        <v>501</v>
      </c>
      <c r="D137" s="60"/>
      <c r="E137" s="60"/>
      <c r="F137" s="60"/>
      <c r="G137" s="133">
        <f>SUM(G131:G136)</f>
        <v>18332.890000000003</v>
      </c>
      <c r="H137" s="139"/>
      <c r="I137" s="259">
        <f t="shared" si="17"/>
        <v>0</v>
      </c>
      <c r="J137" s="135"/>
    </row>
    <row r="138" spans="1:10" ht="12.75">
      <c r="A138" s="15"/>
      <c r="B138" s="15"/>
      <c r="C138" s="15"/>
      <c r="D138" s="16"/>
      <c r="E138" s="126"/>
      <c r="F138" s="17"/>
      <c r="G138" s="154"/>
      <c r="H138" s="139"/>
      <c r="I138" s="259">
        <f t="shared" si="17"/>
        <v>0</v>
      </c>
      <c r="J138" s="135"/>
    </row>
    <row r="139" spans="1:10" ht="12.75">
      <c r="A139" s="15"/>
      <c r="B139" s="15"/>
      <c r="C139" s="15" t="s">
        <v>123</v>
      </c>
      <c r="D139" s="16"/>
      <c r="E139" s="126"/>
      <c r="F139" s="17"/>
      <c r="G139" s="154">
        <f>G112+G120+G128+G137</f>
        <v>78423.55</v>
      </c>
      <c r="H139" s="139"/>
      <c r="I139" s="259">
        <f t="shared" si="17"/>
        <v>0</v>
      </c>
      <c r="J139" s="135"/>
    </row>
    <row r="140" spans="1:10" ht="12.75">
      <c r="A140" s="15"/>
      <c r="B140" s="15"/>
      <c r="C140" s="15"/>
      <c r="D140" s="16"/>
      <c r="E140" s="126"/>
      <c r="F140" s="17"/>
      <c r="G140" s="154"/>
      <c r="H140" s="261"/>
      <c r="I140" s="259">
        <f>ROUND((H140*$I$7),2)</f>
        <v>0</v>
      </c>
      <c r="J140" s="135"/>
    </row>
    <row r="141" spans="1:12" s="59" customFormat="1" ht="12.75">
      <c r="A141" s="22"/>
      <c r="B141" s="22"/>
      <c r="C141" s="22" t="s">
        <v>105</v>
      </c>
      <c r="D141" s="26"/>
      <c r="E141" s="128"/>
      <c r="F141" s="27"/>
      <c r="G141" s="28">
        <f>G11+G70+G99+G139</f>
        <v>300997.49999999994</v>
      </c>
      <c r="H141" s="261"/>
      <c r="I141" s="259">
        <f>ROUND((H141*$I$7),2)</f>
        <v>0</v>
      </c>
      <c r="J141" s="131"/>
      <c r="K141" s="131"/>
      <c r="L141" s="131"/>
    </row>
    <row r="142" spans="1:12" s="59" customFormat="1" ht="12.75">
      <c r="A142" s="8"/>
      <c r="B142" s="8"/>
      <c r="C142" s="58"/>
      <c r="D142" s="16"/>
      <c r="E142" s="129"/>
      <c r="F142" s="17"/>
      <c r="G142" s="18"/>
      <c r="H142" s="141"/>
      <c r="I142" s="141"/>
      <c r="J142" s="131"/>
      <c r="K142" s="131"/>
      <c r="L142" s="131"/>
    </row>
    <row r="143" spans="1:12" s="59" customFormat="1" ht="12.75">
      <c r="A143" s="363" t="s">
        <v>335</v>
      </c>
      <c r="B143" s="363"/>
      <c r="C143" s="363"/>
      <c r="D143" s="363"/>
      <c r="E143" s="363"/>
      <c r="F143" s="363"/>
      <c r="G143" s="363"/>
      <c r="H143" s="141"/>
      <c r="I143" s="141"/>
      <c r="J143" s="131"/>
      <c r="K143" s="131"/>
      <c r="L143" s="131"/>
    </row>
    <row r="144" spans="1:12" s="59" customFormat="1" ht="12.75">
      <c r="A144" s="367" t="s">
        <v>493</v>
      </c>
      <c r="B144" s="368"/>
      <c r="C144" s="368"/>
      <c r="D144" s="368"/>
      <c r="E144" s="368"/>
      <c r="F144" s="368"/>
      <c r="G144" s="369"/>
      <c r="H144" s="141"/>
      <c r="I144" s="141"/>
      <c r="J144" s="131"/>
      <c r="K144" s="131"/>
      <c r="L144" s="131"/>
    </row>
    <row r="145" spans="2:12" s="59" customFormat="1" ht="12.75">
      <c r="B145" s="338"/>
      <c r="E145" s="19"/>
      <c r="H145" s="141"/>
      <c r="I145" s="141"/>
      <c r="J145" s="131"/>
      <c r="K145" s="131"/>
      <c r="L145" s="131"/>
    </row>
    <row r="146" spans="2:12" s="59" customFormat="1" ht="12.75">
      <c r="B146" s="338"/>
      <c r="E146" s="19"/>
      <c r="H146" s="141"/>
      <c r="I146" s="141"/>
      <c r="J146" s="131"/>
      <c r="K146" s="131"/>
      <c r="L146" s="131"/>
    </row>
    <row r="147" spans="1:12" s="59" customFormat="1" ht="13.5" customHeight="1">
      <c r="A147" s="376" t="s">
        <v>124</v>
      </c>
      <c r="B147" s="376"/>
      <c r="C147" s="376"/>
      <c r="D147" s="376"/>
      <c r="E147" s="376"/>
      <c r="F147" s="376"/>
      <c r="G147" s="376"/>
      <c r="H147" s="141"/>
      <c r="I147" s="141"/>
      <c r="J147" s="131"/>
      <c r="K147" s="131"/>
      <c r="L147" s="131"/>
    </row>
    <row r="148" spans="2:12" s="59" customFormat="1" ht="12.75">
      <c r="B148" s="338"/>
      <c r="C148" s="142"/>
      <c r="E148" s="19"/>
      <c r="H148" s="141"/>
      <c r="I148" s="141"/>
      <c r="J148" s="131"/>
      <c r="K148" s="131"/>
      <c r="L148" s="131"/>
    </row>
    <row r="149" spans="1:12" s="59" customFormat="1" ht="29.25" customHeight="1">
      <c r="A149" s="377" t="s">
        <v>336</v>
      </c>
      <c r="B149" s="377"/>
      <c r="C149" s="377"/>
      <c r="D149" s="377"/>
      <c r="E149" s="377"/>
      <c r="F149" s="377"/>
      <c r="G149" s="377"/>
      <c r="H149" s="141"/>
      <c r="I149" s="141"/>
      <c r="J149" s="131"/>
      <c r="K149" s="131"/>
      <c r="L149" s="131"/>
    </row>
    <row r="150" spans="2:12" s="59" customFormat="1" ht="12.75">
      <c r="B150" s="338"/>
      <c r="E150" s="19"/>
      <c r="H150" s="141"/>
      <c r="I150" s="141"/>
      <c r="J150" s="131"/>
      <c r="K150" s="131"/>
      <c r="L150" s="131"/>
    </row>
    <row r="151" spans="2:12" s="59" customFormat="1" ht="12.75">
      <c r="B151" s="338"/>
      <c r="E151" s="19"/>
      <c r="H151" s="141"/>
      <c r="I151" s="141"/>
      <c r="J151" s="131"/>
      <c r="K151" s="131"/>
      <c r="L151" s="131"/>
    </row>
    <row r="152" spans="2:12" s="59" customFormat="1" ht="12.75">
      <c r="B152" s="338"/>
      <c r="E152" s="19"/>
      <c r="H152" s="141"/>
      <c r="I152" s="141"/>
      <c r="J152" s="131"/>
      <c r="K152" s="131"/>
      <c r="L152" s="131"/>
    </row>
    <row r="153" spans="1:12" s="49" customFormat="1" ht="12.75">
      <c r="A153" s="59"/>
      <c r="B153" s="338"/>
      <c r="C153" s="59"/>
      <c r="D153" s="59"/>
      <c r="E153" s="19"/>
      <c r="F153" s="59"/>
      <c r="G153" s="59"/>
      <c r="H153" s="141"/>
      <c r="I153" s="141"/>
      <c r="J153" s="136"/>
      <c r="K153" s="136"/>
      <c r="L153" s="136"/>
    </row>
    <row r="154" spans="2:12" s="49" customFormat="1" ht="12.75">
      <c r="B154" s="339"/>
      <c r="E154" s="10"/>
      <c r="H154" s="135"/>
      <c r="I154" s="135"/>
      <c r="J154" s="136"/>
      <c r="K154" s="136"/>
      <c r="L154" s="136"/>
    </row>
    <row r="155" spans="2:12" s="49" customFormat="1" ht="12.75">
      <c r="B155" s="339"/>
      <c r="E155" s="10"/>
      <c r="H155" s="135"/>
      <c r="I155" s="135"/>
      <c r="J155" s="136"/>
      <c r="K155" s="136"/>
      <c r="L155" s="136"/>
    </row>
    <row r="156" spans="2:12" s="49" customFormat="1" ht="12.75">
      <c r="B156" s="339"/>
      <c r="E156" s="10"/>
      <c r="H156" s="135"/>
      <c r="I156" s="135"/>
      <c r="J156" s="136"/>
      <c r="K156" s="136"/>
      <c r="L156" s="136"/>
    </row>
    <row r="157" spans="2:12" s="49" customFormat="1" ht="12.75">
      <c r="B157" s="339"/>
      <c r="E157" s="10"/>
      <c r="H157" s="135"/>
      <c r="I157" s="135"/>
      <c r="J157" s="136"/>
      <c r="K157" s="136"/>
      <c r="L157" s="136"/>
    </row>
    <row r="158" spans="2:12" s="49" customFormat="1" ht="12.75">
      <c r="B158" s="339"/>
      <c r="E158" s="10"/>
      <c r="H158" s="135"/>
      <c r="I158" s="135"/>
      <c r="J158" s="136"/>
      <c r="K158" s="136"/>
      <c r="L158" s="136"/>
    </row>
    <row r="159" spans="2:12" s="49" customFormat="1" ht="12.75">
      <c r="B159" s="339"/>
      <c r="E159" s="10"/>
      <c r="H159" s="135"/>
      <c r="I159" s="135"/>
      <c r="J159" s="136"/>
      <c r="K159" s="136"/>
      <c r="L159" s="136"/>
    </row>
    <row r="160" spans="2:12" s="49" customFormat="1" ht="12.75">
      <c r="B160" s="339"/>
      <c r="E160" s="10"/>
      <c r="H160" s="135"/>
      <c r="I160" s="135"/>
      <c r="J160" s="136"/>
      <c r="K160" s="136"/>
      <c r="L160" s="136"/>
    </row>
    <row r="161" spans="2:12" s="49" customFormat="1" ht="12.75">
      <c r="B161" s="339"/>
      <c r="E161" s="10"/>
      <c r="H161" s="135"/>
      <c r="I161" s="135"/>
      <c r="J161" s="136"/>
      <c r="K161" s="136"/>
      <c r="L161" s="136"/>
    </row>
    <row r="162" spans="2:12" s="49" customFormat="1" ht="12.75">
      <c r="B162" s="339"/>
      <c r="E162" s="10"/>
      <c r="H162" s="135"/>
      <c r="I162" s="135"/>
      <c r="J162" s="136"/>
      <c r="K162" s="136"/>
      <c r="L162" s="136"/>
    </row>
    <row r="163" spans="2:12" s="49" customFormat="1" ht="12.75">
      <c r="B163" s="339"/>
      <c r="E163" s="10"/>
      <c r="H163" s="135"/>
      <c r="I163" s="135"/>
      <c r="J163" s="136"/>
      <c r="K163" s="136"/>
      <c r="L163" s="136"/>
    </row>
    <row r="164" spans="2:12" s="49" customFormat="1" ht="12.75">
      <c r="B164" s="339"/>
      <c r="E164" s="10"/>
      <c r="H164" s="135"/>
      <c r="I164" s="135"/>
      <c r="J164" s="136"/>
      <c r="K164" s="136"/>
      <c r="L164" s="136"/>
    </row>
    <row r="165" spans="2:12" s="49" customFormat="1" ht="12.75">
      <c r="B165" s="339"/>
      <c r="E165" s="10"/>
      <c r="H165" s="135"/>
      <c r="I165" s="135"/>
      <c r="J165" s="136"/>
      <c r="K165" s="136"/>
      <c r="L165" s="136"/>
    </row>
    <row r="166" spans="2:12" s="49" customFormat="1" ht="12.75">
      <c r="B166" s="339"/>
      <c r="E166" s="10"/>
      <c r="H166" s="135"/>
      <c r="I166" s="135"/>
      <c r="J166" s="136"/>
      <c r="K166" s="136"/>
      <c r="L166" s="136"/>
    </row>
    <row r="167" spans="2:12" s="49" customFormat="1" ht="12.75">
      <c r="B167" s="339"/>
      <c r="E167" s="10"/>
      <c r="H167" s="135"/>
      <c r="I167" s="135"/>
      <c r="J167" s="136"/>
      <c r="K167" s="136"/>
      <c r="L167" s="136"/>
    </row>
    <row r="168" spans="2:12" s="49" customFormat="1" ht="12.75">
      <c r="B168" s="339"/>
      <c r="E168" s="10"/>
      <c r="H168" s="135"/>
      <c r="I168" s="135"/>
      <c r="J168" s="136"/>
      <c r="K168" s="136"/>
      <c r="L168" s="136"/>
    </row>
    <row r="169" spans="2:12" s="49" customFormat="1" ht="12.75">
      <c r="B169" s="339"/>
      <c r="E169" s="10"/>
      <c r="H169" s="135"/>
      <c r="I169" s="135"/>
      <c r="J169" s="136"/>
      <c r="K169" s="136"/>
      <c r="L169" s="136"/>
    </row>
    <row r="170" spans="2:12" s="49" customFormat="1" ht="12.75">
      <c r="B170" s="339"/>
      <c r="E170" s="10"/>
      <c r="H170" s="135"/>
      <c r="I170" s="135"/>
      <c r="J170" s="136"/>
      <c r="K170" s="136"/>
      <c r="L170" s="136"/>
    </row>
    <row r="171" spans="2:12" s="49" customFormat="1" ht="12.75">
      <c r="B171" s="339"/>
      <c r="E171" s="10"/>
      <c r="H171" s="135"/>
      <c r="I171" s="135"/>
      <c r="J171" s="136"/>
      <c r="K171" s="136"/>
      <c r="L171" s="136"/>
    </row>
    <row r="172" spans="2:12" s="49" customFormat="1" ht="12.75">
      <c r="B172" s="339"/>
      <c r="E172" s="10"/>
      <c r="H172" s="135"/>
      <c r="I172" s="135"/>
      <c r="J172" s="136"/>
      <c r="K172" s="136"/>
      <c r="L172" s="136"/>
    </row>
    <row r="173" spans="2:12" s="49" customFormat="1" ht="12.75">
      <c r="B173" s="339"/>
      <c r="E173" s="10"/>
      <c r="H173" s="135"/>
      <c r="I173" s="135"/>
      <c r="J173" s="136"/>
      <c r="K173" s="136"/>
      <c r="L173" s="136"/>
    </row>
    <row r="174" spans="2:12" s="49" customFormat="1" ht="12.75">
      <c r="B174" s="339"/>
      <c r="E174" s="10"/>
      <c r="H174" s="135"/>
      <c r="I174" s="135"/>
      <c r="J174" s="136"/>
      <c r="K174" s="136"/>
      <c r="L174" s="136"/>
    </row>
    <row r="175" spans="2:12" s="49" customFormat="1" ht="12.75">
      <c r="B175" s="339"/>
      <c r="E175" s="10"/>
      <c r="H175" s="135"/>
      <c r="I175" s="135"/>
      <c r="J175" s="136"/>
      <c r="K175" s="136"/>
      <c r="L175" s="136"/>
    </row>
    <row r="176" spans="2:12" s="49" customFormat="1" ht="12.75">
      <c r="B176" s="339"/>
      <c r="E176" s="10"/>
      <c r="H176" s="135"/>
      <c r="I176" s="135"/>
      <c r="J176" s="136"/>
      <c r="K176" s="136"/>
      <c r="L176" s="136"/>
    </row>
    <row r="177" spans="2:12" s="49" customFormat="1" ht="12.75">
      <c r="B177" s="339"/>
      <c r="E177" s="10"/>
      <c r="H177" s="135"/>
      <c r="I177" s="135"/>
      <c r="J177" s="136"/>
      <c r="K177" s="136"/>
      <c r="L177" s="136"/>
    </row>
    <row r="178" spans="2:12" s="49" customFormat="1" ht="12.75">
      <c r="B178" s="339"/>
      <c r="E178" s="10"/>
      <c r="H178" s="135"/>
      <c r="I178" s="135"/>
      <c r="J178" s="136"/>
      <c r="K178" s="136"/>
      <c r="L178" s="136"/>
    </row>
    <row r="179" spans="2:12" s="49" customFormat="1" ht="12.75">
      <c r="B179" s="339"/>
      <c r="E179" s="10"/>
      <c r="H179" s="135"/>
      <c r="I179" s="135"/>
      <c r="J179" s="136"/>
      <c r="K179" s="136"/>
      <c r="L179" s="136"/>
    </row>
    <row r="180" spans="2:12" s="49" customFormat="1" ht="12.75">
      <c r="B180" s="339"/>
      <c r="E180" s="10"/>
      <c r="H180" s="135"/>
      <c r="I180" s="135"/>
      <c r="J180" s="136"/>
      <c r="K180" s="136"/>
      <c r="L180" s="136"/>
    </row>
    <row r="181" spans="2:12" s="49" customFormat="1" ht="12.75">
      <c r="B181" s="339"/>
      <c r="E181" s="10"/>
      <c r="H181" s="135"/>
      <c r="I181" s="135"/>
      <c r="J181" s="136"/>
      <c r="K181" s="136"/>
      <c r="L181" s="136"/>
    </row>
    <row r="182" spans="2:12" s="49" customFormat="1" ht="12.75">
      <c r="B182" s="339"/>
      <c r="E182" s="10"/>
      <c r="H182" s="135"/>
      <c r="I182" s="135"/>
      <c r="J182" s="136"/>
      <c r="K182" s="136"/>
      <c r="L182" s="136"/>
    </row>
    <row r="183" spans="2:12" s="49" customFormat="1" ht="12.75">
      <c r="B183" s="339"/>
      <c r="E183" s="10"/>
      <c r="H183" s="135"/>
      <c r="I183" s="135"/>
      <c r="J183" s="136"/>
      <c r="K183" s="136"/>
      <c r="L183" s="136"/>
    </row>
    <row r="184" spans="2:12" s="49" customFormat="1" ht="12.75">
      <c r="B184" s="339"/>
      <c r="E184" s="10"/>
      <c r="H184" s="135"/>
      <c r="I184" s="135"/>
      <c r="J184" s="136"/>
      <c r="K184" s="136"/>
      <c r="L184" s="136"/>
    </row>
    <row r="185" spans="2:12" s="49" customFormat="1" ht="12.75">
      <c r="B185" s="339"/>
      <c r="E185" s="10"/>
      <c r="H185" s="135"/>
      <c r="I185" s="135"/>
      <c r="J185" s="136"/>
      <c r="K185" s="136"/>
      <c r="L185" s="136"/>
    </row>
    <row r="186" spans="2:12" s="49" customFormat="1" ht="12.75">
      <c r="B186" s="339"/>
      <c r="E186" s="10"/>
      <c r="H186" s="135"/>
      <c r="I186" s="135"/>
      <c r="J186" s="136"/>
      <c r="K186" s="136"/>
      <c r="L186" s="136"/>
    </row>
    <row r="187" spans="2:12" s="49" customFormat="1" ht="12.75">
      <c r="B187" s="339"/>
      <c r="E187" s="10"/>
      <c r="H187" s="135"/>
      <c r="I187" s="135"/>
      <c r="J187" s="136"/>
      <c r="K187" s="136"/>
      <c r="L187" s="136"/>
    </row>
    <row r="188" spans="2:12" s="49" customFormat="1" ht="12.75">
      <c r="B188" s="339"/>
      <c r="E188" s="10"/>
      <c r="H188" s="135"/>
      <c r="I188" s="135"/>
      <c r="J188" s="136"/>
      <c r="K188" s="136"/>
      <c r="L188" s="136"/>
    </row>
    <row r="189" spans="2:12" s="49" customFormat="1" ht="12.75">
      <c r="B189" s="339"/>
      <c r="E189" s="10"/>
      <c r="H189" s="135"/>
      <c r="I189" s="135"/>
      <c r="J189" s="136"/>
      <c r="K189" s="136"/>
      <c r="L189" s="136"/>
    </row>
    <row r="190" spans="2:12" s="49" customFormat="1" ht="12.75">
      <c r="B190" s="339"/>
      <c r="E190" s="10"/>
      <c r="H190" s="135"/>
      <c r="I190" s="135"/>
      <c r="J190" s="136"/>
      <c r="K190" s="136"/>
      <c r="L190" s="136"/>
    </row>
    <row r="191" spans="2:12" s="49" customFormat="1" ht="12.75">
      <c r="B191" s="339"/>
      <c r="E191" s="10"/>
      <c r="H191" s="135"/>
      <c r="I191" s="135"/>
      <c r="J191" s="136"/>
      <c r="K191" s="136"/>
      <c r="L191" s="136"/>
    </row>
    <row r="192" spans="2:12" s="49" customFormat="1" ht="12.75">
      <c r="B192" s="339"/>
      <c r="E192" s="10"/>
      <c r="H192" s="135"/>
      <c r="I192" s="135"/>
      <c r="J192" s="136"/>
      <c r="K192" s="136"/>
      <c r="L192" s="136"/>
    </row>
    <row r="193" spans="2:12" s="49" customFormat="1" ht="12.75">
      <c r="B193" s="339"/>
      <c r="E193" s="10"/>
      <c r="H193" s="135"/>
      <c r="I193" s="135"/>
      <c r="J193" s="136"/>
      <c r="K193" s="136"/>
      <c r="L193" s="136"/>
    </row>
    <row r="194" spans="2:12" s="49" customFormat="1" ht="12.75">
      <c r="B194" s="339"/>
      <c r="E194" s="10"/>
      <c r="H194" s="135"/>
      <c r="I194" s="135"/>
      <c r="J194" s="136"/>
      <c r="K194" s="136"/>
      <c r="L194" s="136"/>
    </row>
    <row r="195" spans="2:12" s="49" customFormat="1" ht="12.75">
      <c r="B195" s="339"/>
      <c r="E195" s="10"/>
      <c r="H195" s="135"/>
      <c r="I195" s="135"/>
      <c r="J195" s="136"/>
      <c r="K195" s="136"/>
      <c r="L195" s="136"/>
    </row>
    <row r="196" spans="2:12" s="49" customFormat="1" ht="12.75">
      <c r="B196" s="339"/>
      <c r="E196" s="10"/>
      <c r="H196" s="135"/>
      <c r="I196" s="135"/>
      <c r="J196" s="136"/>
      <c r="K196" s="136"/>
      <c r="L196" s="136"/>
    </row>
    <row r="197" spans="2:12" s="49" customFormat="1" ht="12.75">
      <c r="B197" s="339"/>
      <c r="E197" s="10"/>
      <c r="H197" s="135"/>
      <c r="I197" s="135"/>
      <c r="J197" s="136"/>
      <c r="K197" s="136"/>
      <c r="L197" s="136"/>
    </row>
    <row r="198" spans="2:12" s="49" customFormat="1" ht="12.75">
      <c r="B198" s="339"/>
      <c r="E198" s="10"/>
      <c r="H198" s="135"/>
      <c r="I198" s="135"/>
      <c r="J198" s="136"/>
      <c r="K198" s="136"/>
      <c r="L198" s="136"/>
    </row>
    <row r="199" spans="2:12" s="49" customFormat="1" ht="12.75">
      <c r="B199" s="339"/>
      <c r="E199" s="10"/>
      <c r="H199" s="135"/>
      <c r="I199" s="135"/>
      <c r="J199" s="136"/>
      <c r="K199" s="136"/>
      <c r="L199" s="136"/>
    </row>
    <row r="200" spans="2:12" s="49" customFormat="1" ht="12.75">
      <c r="B200" s="339"/>
      <c r="E200" s="10"/>
      <c r="H200" s="135"/>
      <c r="I200" s="135"/>
      <c r="J200" s="136"/>
      <c r="K200" s="136"/>
      <c r="L200" s="136"/>
    </row>
    <row r="201" spans="2:12" s="49" customFormat="1" ht="12.75">
      <c r="B201" s="339"/>
      <c r="E201" s="10"/>
      <c r="H201" s="135"/>
      <c r="I201" s="135"/>
      <c r="J201" s="136"/>
      <c r="K201" s="136"/>
      <c r="L201" s="136"/>
    </row>
    <row r="202" spans="2:12" s="49" customFormat="1" ht="12.75">
      <c r="B202" s="339"/>
      <c r="E202" s="10"/>
      <c r="H202" s="135"/>
      <c r="I202" s="135"/>
      <c r="J202" s="136"/>
      <c r="K202" s="136"/>
      <c r="L202" s="136"/>
    </row>
    <row r="203" spans="2:12" s="49" customFormat="1" ht="12.75">
      <c r="B203" s="339"/>
      <c r="E203" s="10"/>
      <c r="H203" s="135"/>
      <c r="I203" s="135"/>
      <c r="J203" s="136"/>
      <c r="K203" s="136"/>
      <c r="L203" s="136"/>
    </row>
    <row r="204" spans="2:12" s="49" customFormat="1" ht="12.75">
      <c r="B204" s="339"/>
      <c r="E204" s="10"/>
      <c r="H204" s="135"/>
      <c r="I204" s="135"/>
      <c r="J204" s="136"/>
      <c r="K204" s="136"/>
      <c r="L204" s="136"/>
    </row>
    <row r="205" spans="2:12" s="49" customFormat="1" ht="12.75">
      <c r="B205" s="339"/>
      <c r="E205" s="10"/>
      <c r="H205" s="135"/>
      <c r="I205" s="135"/>
      <c r="J205" s="136"/>
      <c r="K205" s="136"/>
      <c r="L205" s="136"/>
    </row>
    <row r="206" spans="2:12" s="49" customFormat="1" ht="12.75">
      <c r="B206" s="339"/>
      <c r="E206" s="10"/>
      <c r="H206" s="135"/>
      <c r="I206" s="135"/>
      <c r="J206" s="136"/>
      <c r="K206" s="136"/>
      <c r="L206" s="136"/>
    </row>
    <row r="207" spans="2:12" s="49" customFormat="1" ht="12.75">
      <c r="B207" s="339"/>
      <c r="E207" s="10"/>
      <c r="H207" s="135"/>
      <c r="I207" s="135"/>
      <c r="J207" s="136"/>
      <c r="K207" s="136"/>
      <c r="L207" s="136"/>
    </row>
    <row r="208" spans="2:12" s="49" customFormat="1" ht="12.75">
      <c r="B208" s="339"/>
      <c r="E208" s="10"/>
      <c r="H208" s="135"/>
      <c r="I208" s="135"/>
      <c r="J208" s="136"/>
      <c r="K208" s="136"/>
      <c r="L208" s="136"/>
    </row>
    <row r="209" spans="2:12" s="49" customFormat="1" ht="12.75">
      <c r="B209" s="339"/>
      <c r="E209" s="10"/>
      <c r="H209" s="135"/>
      <c r="I209" s="135"/>
      <c r="J209" s="136"/>
      <c r="K209" s="136"/>
      <c r="L209" s="136"/>
    </row>
    <row r="210" spans="2:12" s="49" customFormat="1" ht="12.75">
      <c r="B210" s="339"/>
      <c r="E210" s="10"/>
      <c r="H210" s="135"/>
      <c r="I210" s="135"/>
      <c r="J210" s="136"/>
      <c r="K210" s="136"/>
      <c r="L210" s="136"/>
    </row>
    <row r="211" spans="2:12" s="49" customFormat="1" ht="12.75">
      <c r="B211" s="339"/>
      <c r="E211" s="10"/>
      <c r="H211" s="135"/>
      <c r="I211" s="135"/>
      <c r="J211" s="136"/>
      <c r="K211" s="136"/>
      <c r="L211" s="136"/>
    </row>
    <row r="212" spans="2:12" s="49" customFormat="1" ht="12.75">
      <c r="B212" s="339"/>
      <c r="E212" s="10"/>
      <c r="H212" s="135"/>
      <c r="I212" s="135"/>
      <c r="J212" s="136"/>
      <c r="K212" s="136"/>
      <c r="L212" s="136"/>
    </row>
    <row r="213" spans="2:12" s="49" customFormat="1" ht="12.75">
      <c r="B213" s="339"/>
      <c r="E213" s="10"/>
      <c r="H213" s="135"/>
      <c r="I213" s="135"/>
      <c r="J213" s="136"/>
      <c r="K213" s="136"/>
      <c r="L213" s="136"/>
    </row>
    <row r="214" spans="2:12" s="49" customFormat="1" ht="12.75">
      <c r="B214" s="339"/>
      <c r="E214" s="10"/>
      <c r="H214" s="135"/>
      <c r="I214" s="135"/>
      <c r="J214" s="136"/>
      <c r="K214" s="136"/>
      <c r="L214" s="136"/>
    </row>
    <row r="215" spans="2:12" s="49" customFormat="1" ht="12.75">
      <c r="B215" s="339"/>
      <c r="E215" s="10"/>
      <c r="H215" s="135"/>
      <c r="I215" s="135"/>
      <c r="J215" s="136"/>
      <c r="K215" s="136"/>
      <c r="L215" s="136"/>
    </row>
    <row r="216" spans="2:12" s="49" customFormat="1" ht="12.75">
      <c r="B216" s="339"/>
      <c r="E216" s="10"/>
      <c r="H216" s="135"/>
      <c r="I216" s="135"/>
      <c r="J216" s="136"/>
      <c r="K216" s="136"/>
      <c r="L216" s="136"/>
    </row>
    <row r="217" spans="2:12" s="49" customFormat="1" ht="12.75">
      <c r="B217" s="339"/>
      <c r="E217" s="10"/>
      <c r="H217" s="135"/>
      <c r="I217" s="135"/>
      <c r="J217" s="136"/>
      <c r="K217" s="136"/>
      <c r="L217" s="136"/>
    </row>
    <row r="218" spans="2:12" s="49" customFormat="1" ht="12.75">
      <c r="B218" s="339"/>
      <c r="E218" s="10"/>
      <c r="H218" s="135"/>
      <c r="I218" s="135"/>
      <c r="J218" s="136"/>
      <c r="K218" s="136"/>
      <c r="L218" s="136"/>
    </row>
    <row r="219" spans="2:12" s="49" customFormat="1" ht="12.75">
      <c r="B219" s="339"/>
      <c r="E219" s="10"/>
      <c r="H219" s="135"/>
      <c r="I219" s="135"/>
      <c r="J219" s="136"/>
      <c r="K219" s="136"/>
      <c r="L219" s="136"/>
    </row>
    <row r="220" spans="2:12" s="49" customFormat="1" ht="12.75">
      <c r="B220" s="339"/>
      <c r="E220" s="10"/>
      <c r="H220" s="135"/>
      <c r="I220" s="135"/>
      <c r="J220" s="136"/>
      <c r="K220" s="136"/>
      <c r="L220" s="136"/>
    </row>
    <row r="221" spans="2:12" s="49" customFormat="1" ht="12.75">
      <c r="B221" s="339"/>
      <c r="E221" s="10"/>
      <c r="H221" s="135"/>
      <c r="I221" s="135"/>
      <c r="J221" s="136"/>
      <c r="K221" s="136"/>
      <c r="L221" s="136"/>
    </row>
    <row r="222" spans="2:12" s="49" customFormat="1" ht="12.75">
      <c r="B222" s="339"/>
      <c r="E222" s="10"/>
      <c r="H222" s="135"/>
      <c r="I222" s="135"/>
      <c r="J222" s="136"/>
      <c r="K222" s="136"/>
      <c r="L222" s="136"/>
    </row>
    <row r="223" spans="2:12" s="49" customFormat="1" ht="12.75">
      <c r="B223" s="339"/>
      <c r="E223" s="10"/>
      <c r="H223" s="135"/>
      <c r="I223" s="135"/>
      <c r="J223" s="136"/>
      <c r="K223" s="136"/>
      <c r="L223" s="136"/>
    </row>
    <row r="224" spans="2:12" s="49" customFormat="1" ht="12.75">
      <c r="B224" s="339"/>
      <c r="E224" s="10"/>
      <c r="H224" s="135"/>
      <c r="I224" s="135"/>
      <c r="J224" s="136"/>
      <c r="K224" s="136"/>
      <c r="L224" s="136"/>
    </row>
    <row r="225" spans="2:12" s="49" customFormat="1" ht="12.75">
      <c r="B225" s="339"/>
      <c r="E225" s="10"/>
      <c r="H225" s="135"/>
      <c r="I225" s="135"/>
      <c r="J225" s="136"/>
      <c r="K225" s="136"/>
      <c r="L225" s="136"/>
    </row>
    <row r="226" spans="2:12" s="49" customFormat="1" ht="12.75">
      <c r="B226" s="339"/>
      <c r="E226" s="10"/>
      <c r="H226" s="135"/>
      <c r="I226" s="135"/>
      <c r="J226" s="136"/>
      <c r="K226" s="136"/>
      <c r="L226" s="136"/>
    </row>
    <row r="227" spans="2:12" s="49" customFormat="1" ht="12.75">
      <c r="B227" s="339"/>
      <c r="E227" s="10"/>
      <c r="H227" s="135"/>
      <c r="I227" s="135"/>
      <c r="J227" s="136"/>
      <c r="K227" s="136"/>
      <c r="L227" s="136"/>
    </row>
    <row r="228" spans="2:12" s="49" customFormat="1" ht="12.75">
      <c r="B228" s="339"/>
      <c r="E228" s="10"/>
      <c r="H228" s="135"/>
      <c r="I228" s="135"/>
      <c r="J228" s="136"/>
      <c r="K228" s="136"/>
      <c r="L228" s="136"/>
    </row>
    <row r="229" spans="2:12" s="49" customFormat="1" ht="12.75">
      <c r="B229" s="339"/>
      <c r="E229" s="10"/>
      <c r="H229" s="135"/>
      <c r="I229" s="135"/>
      <c r="J229" s="136"/>
      <c r="K229" s="136"/>
      <c r="L229" s="136"/>
    </row>
    <row r="230" spans="2:12" s="49" customFormat="1" ht="12.75">
      <c r="B230" s="339"/>
      <c r="E230" s="10"/>
      <c r="H230" s="135"/>
      <c r="I230" s="135"/>
      <c r="J230" s="136"/>
      <c r="K230" s="136"/>
      <c r="L230" s="136"/>
    </row>
    <row r="231" spans="2:12" s="49" customFormat="1" ht="12.75">
      <c r="B231" s="339"/>
      <c r="E231" s="10"/>
      <c r="H231" s="135"/>
      <c r="I231" s="135"/>
      <c r="J231" s="136"/>
      <c r="K231" s="136"/>
      <c r="L231" s="136"/>
    </row>
    <row r="232" spans="2:12" s="49" customFormat="1" ht="12.75">
      <c r="B232" s="339"/>
      <c r="E232" s="10"/>
      <c r="H232" s="135"/>
      <c r="I232" s="135"/>
      <c r="J232" s="136"/>
      <c r="K232" s="136"/>
      <c r="L232" s="136"/>
    </row>
    <row r="233" spans="2:12" s="49" customFormat="1" ht="12.75">
      <c r="B233" s="339"/>
      <c r="E233" s="10"/>
      <c r="H233" s="135"/>
      <c r="I233" s="135"/>
      <c r="J233" s="136"/>
      <c r="K233" s="136"/>
      <c r="L233" s="136"/>
    </row>
    <row r="234" spans="2:12" s="49" customFormat="1" ht="12.75">
      <c r="B234" s="339"/>
      <c r="E234" s="10"/>
      <c r="H234" s="135"/>
      <c r="I234" s="135"/>
      <c r="J234" s="136"/>
      <c r="K234" s="136"/>
      <c r="L234" s="136"/>
    </row>
    <row r="235" spans="2:12" s="49" customFormat="1" ht="12.75">
      <c r="B235" s="339"/>
      <c r="E235" s="10"/>
      <c r="H235" s="135"/>
      <c r="I235" s="135"/>
      <c r="J235" s="136"/>
      <c r="K235" s="136"/>
      <c r="L235" s="136"/>
    </row>
    <row r="236" spans="2:12" s="49" customFormat="1" ht="12.75">
      <c r="B236" s="339"/>
      <c r="E236" s="10"/>
      <c r="H236" s="135"/>
      <c r="I236" s="135"/>
      <c r="J236" s="136"/>
      <c r="K236" s="136"/>
      <c r="L236" s="136"/>
    </row>
    <row r="237" spans="2:12" s="49" customFormat="1" ht="12.75">
      <c r="B237" s="339"/>
      <c r="E237" s="10"/>
      <c r="H237" s="135"/>
      <c r="I237" s="135"/>
      <c r="J237" s="136"/>
      <c r="K237" s="136"/>
      <c r="L237" s="136"/>
    </row>
    <row r="238" spans="2:12" s="49" customFormat="1" ht="12.75">
      <c r="B238" s="339"/>
      <c r="E238" s="10"/>
      <c r="H238" s="135"/>
      <c r="I238" s="135"/>
      <c r="J238" s="136"/>
      <c r="K238" s="136"/>
      <c r="L238" s="136"/>
    </row>
    <row r="239" spans="2:12" s="49" customFormat="1" ht="12.75">
      <c r="B239" s="339"/>
      <c r="E239" s="10"/>
      <c r="H239" s="135"/>
      <c r="I239" s="135"/>
      <c r="J239" s="136"/>
      <c r="K239" s="136"/>
      <c r="L239" s="136"/>
    </row>
    <row r="240" spans="2:12" s="49" customFormat="1" ht="12.75">
      <c r="B240" s="339"/>
      <c r="E240" s="10"/>
      <c r="H240" s="135"/>
      <c r="I240" s="135"/>
      <c r="J240" s="136"/>
      <c r="K240" s="136"/>
      <c r="L240" s="136"/>
    </row>
    <row r="241" spans="2:12" s="49" customFormat="1" ht="12.75">
      <c r="B241" s="339"/>
      <c r="E241" s="10"/>
      <c r="H241" s="135"/>
      <c r="I241" s="135"/>
      <c r="J241" s="136"/>
      <c r="K241" s="136"/>
      <c r="L241" s="136"/>
    </row>
    <row r="242" spans="2:12" s="49" customFormat="1" ht="12.75">
      <c r="B242" s="339"/>
      <c r="E242" s="10"/>
      <c r="H242" s="135"/>
      <c r="I242" s="135"/>
      <c r="J242" s="136"/>
      <c r="K242" s="136"/>
      <c r="L242" s="136"/>
    </row>
    <row r="243" spans="2:12" s="49" customFormat="1" ht="12.75">
      <c r="B243" s="339"/>
      <c r="E243" s="10"/>
      <c r="H243" s="135"/>
      <c r="I243" s="135"/>
      <c r="J243" s="136"/>
      <c r="K243" s="136"/>
      <c r="L243" s="136"/>
    </row>
    <row r="244" spans="2:12" s="49" customFormat="1" ht="12.75">
      <c r="B244" s="339"/>
      <c r="E244" s="10"/>
      <c r="H244" s="135"/>
      <c r="I244" s="135"/>
      <c r="J244" s="136"/>
      <c r="K244" s="136"/>
      <c r="L244" s="136"/>
    </row>
    <row r="245" spans="2:12" s="49" customFormat="1" ht="12.75">
      <c r="B245" s="339"/>
      <c r="E245" s="10"/>
      <c r="H245" s="135"/>
      <c r="I245" s="135"/>
      <c r="J245" s="136"/>
      <c r="K245" s="136"/>
      <c r="L245" s="136"/>
    </row>
    <row r="246" spans="2:12" s="49" customFormat="1" ht="12.75">
      <c r="B246" s="339"/>
      <c r="E246" s="10"/>
      <c r="H246" s="135"/>
      <c r="I246" s="135"/>
      <c r="J246" s="136"/>
      <c r="K246" s="136"/>
      <c r="L246" s="136"/>
    </row>
    <row r="247" spans="2:12" s="49" customFormat="1" ht="12.75">
      <c r="B247" s="339"/>
      <c r="E247" s="10"/>
      <c r="H247" s="135"/>
      <c r="I247" s="135"/>
      <c r="J247" s="136"/>
      <c r="K247" s="136"/>
      <c r="L247" s="136"/>
    </row>
    <row r="248" spans="2:12" s="49" customFormat="1" ht="12.75">
      <c r="B248" s="339"/>
      <c r="E248" s="10"/>
      <c r="H248" s="135"/>
      <c r="I248" s="135"/>
      <c r="J248" s="136"/>
      <c r="K248" s="136"/>
      <c r="L248" s="136"/>
    </row>
    <row r="249" spans="2:12" s="49" customFormat="1" ht="12.75">
      <c r="B249" s="339"/>
      <c r="E249" s="10"/>
      <c r="H249" s="135"/>
      <c r="I249" s="135"/>
      <c r="J249" s="136"/>
      <c r="K249" s="136"/>
      <c r="L249" s="136"/>
    </row>
    <row r="250" spans="2:12" s="49" customFormat="1" ht="12.75">
      <c r="B250" s="339"/>
      <c r="E250" s="10"/>
      <c r="H250" s="135"/>
      <c r="I250" s="135"/>
      <c r="J250" s="136"/>
      <c r="K250" s="136"/>
      <c r="L250" s="136"/>
    </row>
    <row r="251" spans="2:12" s="49" customFormat="1" ht="12.75">
      <c r="B251" s="339"/>
      <c r="E251" s="10"/>
      <c r="H251" s="135"/>
      <c r="I251" s="135"/>
      <c r="J251" s="136"/>
      <c r="K251" s="136"/>
      <c r="L251" s="136"/>
    </row>
    <row r="252" spans="2:12" s="49" customFormat="1" ht="12.75">
      <c r="B252" s="339"/>
      <c r="E252" s="10"/>
      <c r="H252" s="135"/>
      <c r="I252" s="135"/>
      <c r="J252" s="136"/>
      <c r="K252" s="136"/>
      <c r="L252" s="136"/>
    </row>
    <row r="253" spans="2:12" s="49" customFormat="1" ht="12.75">
      <c r="B253" s="339"/>
      <c r="E253" s="10"/>
      <c r="H253" s="135"/>
      <c r="I253" s="135"/>
      <c r="J253" s="136"/>
      <c r="K253" s="136"/>
      <c r="L253" s="136"/>
    </row>
    <row r="254" spans="2:12" s="49" customFormat="1" ht="12.75">
      <c r="B254" s="339"/>
      <c r="E254" s="10"/>
      <c r="H254" s="135"/>
      <c r="I254" s="135"/>
      <c r="J254" s="136"/>
      <c r="K254" s="136"/>
      <c r="L254" s="136"/>
    </row>
    <row r="255" spans="2:12" s="49" customFormat="1" ht="12.75">
      <c r="B255" s="339"/>
      <c r="E255" s="10"/>
      <c r="H255" s="135"/>
      <c r="I255" s="135"/>
      <c r="J255" s="136"/>
      <c r="K255" s="136"/>
      <c r="L255" s="136"/>
    </row>
    <row r="256" spans="2:12" s="49" customFormat="1" ht="12.75">
      <c r="B256" s="339"/>
      <c r="E256" s="10"/>
      <c r="H256" s="135"/>
      <c r="I256" s="135"/>
      <c r="J256" s="136"/>
      <c r="K256" s="136"/>
      <c r="L256" s="136"/>
    </row>
    <row r="257" spans="2:12" s="49" customFormat="1" ht="12.75">
      <c r="B257" s="339"/>
      <c r="E257" s="10"/>
      <c r="H257" s="135"/>
      <c r="I257" s="135"/>
      <c r="J257" s="136"/>
      <c r="K257" s="136"/>
      <c r="L257" s="136"/>
    </row>
    <row r="258" spans="2:12" s="49" customFormat="1" ht="12.75">
      <c r="B258" s="339"/>
      <c r="E258" s="10"/>
      <c r="H258" s="135"/>
      <c r="I258" s="135"/>
      <c r="J258" s="136"/>
      <c r="K258" s="136"/>
      <c r="L258" s="136"/>
    </row>
    <row r="259" spans="2:12" s="49" customFormat="1" ht="12.75">
      <c r="B259" s="339"/>
      <c r="E259" s="10"/>
      <c r="H259" s="135"/>
      <c r="I259" s="135"/>
      <c r="J259" s="136"/>
      <c r="K259" s="136"/>
      <c r="L259" s="136"/>
    </row>
    <row r="260" spans="2:12" s="49" customFormat="1" ht="12.75">
      <c r="B260" s="339"/>
      <c r="E260" s="10"/>
      <c r="H260" s="135"/>
      <c r="I260" s="135"/>
      <c r="J260" s="136"/>
      <c r="K260" s="136"/>
      <c r="L260" s="136"/>
    </row>
    <row r="261" spans="2:12" s="49" customFormat="1" ht="12.75">
      <c r="B261" s="339"/>
      <c r="E261" s="10"/>
      <c r="H261" s="135"/>
      <c r="I261" s="135"/>
      <c r="J261" s="136"/>
      <c r="K261" s="136"/>
      <c r="L261" s="136"/>
    </row>
    <row r="262" spans="2:12" s="49" customFormat="1" ht="12.75">
      <c r="B262" s="339"/>
      <c r="E262" s="10"/>
      <c r="H262" s="135"/>
      <c r="I262" s="135"/>
      <c r="J262" s="136"/>
      <c r="K262" s="136"/>
      <c r="L262" s="136"/>
    </row>
    <row r="263" spans="2:12" s="49" customFormat="1" ht="12.75">
      <c r="B263" s="339"/>
      <c r="E263" s="10"/>
      <c r="H263" s="135"/>
      <c r="I263" s="135"/>
      <c r="J263" s="136"/>
      <c r="K263" s="136"/>
      <c r="L263" s="136"/>
    </row>
    <row r="264" spans="2:12" s="49" customFormat="1" ht="12.75">
      <c r="B264" s="339"/>
      <c r="E264" s="10"/>
      <c r="H264" s="135"/>
      <c r="I264" s="135"/>
      <c r="J264" s="136"/>
      <c r="K264" s="136"/>
      <c r="L264" s="136"/>
    </row>
    <row r="265" spans="2:12" s="49" customFormat="1" ht="12.75">
      <c r="B265" s="339"/>
      <c r="E265" s="10"/>
      <c r="H265" s="135"/>
      <c r="I265" s="135"/>
      <c r="J265" s="136"/>
      <c r="K265" s="136"/>
      <c r="L265" s="136"/>
    </row>
    <row r="266" spans="2:12" s="49" customFormat="1" ht="12.75">
      <c r="B266" s="339"/>
      <c r="E266" s="10"/>
      <c r="H266" s="135"/>
      <c r="I266" s="135"/>
      <c r="J266" s="136"/>
      <c r="K266" s="136"/>
      <c r="L266" s="136"/>
    </row>
    <row r="267" spans="2:12" s="49" customFormat="1" ht="12.75">
      <c r="B267" s="339"/>
      <c r="E267" s="10"/>
      <c r="H267" s="135"/>
      <c r="I267" s="135"/>
      <c r="J267" s="136"/>
      <c r="K267" s="136"/>
      <c r="L267" s="136"/>
    </row>
    <row r="268" spans="2:12" s="49" customFormat="1" ht="12.75">
      <c r="B268" s="339"/>
      <c r="E268" s="10"/>
      <c r="H268" s="135"/>
      <c r="I268" s="135"/>
      <c r="J268" s="136"/>
      <c r="K268" s="136"/>
      <c r="L268" s="136"/>
    </row>
    <row r="269" spans="2:12" s="49" customFormat="1" ht="12.75">
      <c r="B269" s="339"/>
      <c r="E269" s="10"/>
      <c r="H269" s="135"/>
      <c r="I269" s="135"/>
      <c r="J269" s="136"/>
      <c r="K269" s="136"/>
      <c r="L269" s="136"/>
    </row>
    <row r="270" spans="2:12" s="49" customFormat="1" ht="12.75">
      <c r="B270" s="339"/>
      <c r="E270" s="10"/>
      <c r="H270" s="135"/>
      <c r="I270" s="135"/>
      <c r="J270" s="136"/>
      <c r="K270" s="136"/>
      <c r="L270" s="136"/>
    </row>
    <row r="271" spans="2:12" s="49" customFormat="1" ht="12.75">
      <c r="B271" s="339"/>
      <c r="E271" s="10"/>
      <c r="H271" s="135"/>
      <c r="I271" s="135"/>
      <c r="J271" s="136"/>
      <c r="K271" s="136"/>
      <c r="L271" s="136"/>
    </row>
    <row r="272" spans="2:12" s="49" customFormat="1" ht="12.75">
      <c r="B272" s="339"/>
      <c r="E272" s="10"/>
      <c r="H272" s="135"/>
      <c r="I272" s="135"/>
      <c r="J272" s="136"/>
      <c r="K272" s="136"/>
      <c r="L272" s="136"/>
    </row>
    <row r="273" spans="2:12" s="49" customFormat="1" ht="12.75">
      <c r="B273" s="339"/>
      <c r="E273" s="10"/>
      <c r="H273" s="135"/>
      <c r="I273" s="135"/>
      <c r="J273" s="136"/>
      <c r="K273" s="136"/>
      <c r="L273" s="136"/>
    </row>
    <row r="274" spans="2:12" s="49" customFormat="1" ht="12.75">
      <c r="B274" s="339"/>
      <c r="E274" s="10"/>
      <c r="H274" s="135"/>
      <c r="I274" s="135"/>
      <c r="J274" s="136"/>
      <c r="K274" s="136"/>
      <c r="L274" s="136"/>
    </row>
    <row r="275" spans="2:12" s="49" customFormat="1" ht="12.75">
      <c r="B275" s="339"/>
      <c r="E275" s="10"/>
      <c r="H275" s="135"/>
      <c r="I275" s="135"/>
      <c r="J275" s="136"/>
      <c r="K275" s="136"/>
      <c r="L275" s="136"/>
    </row>
    <row r="276" spans="2:12" s="49" customFormat="1" ht="12.75">
      <c r="B276" s="339"/>
      <c r="E276" s="10"/>
      <c r="H276" s="135"/>
      <c r="I276" s="135"/>
      <c r="J276" s="136"/>
      <c r="K276" s="136"/>
      <c r="L276" s="136"/>
    </row>
    <row r="277" spans="2:12" s="49" customFormat="1" ht="12.75">
      <c r="B277" s="339"/>
      <c r="E277" s="10"/>
      <c r="H277" s="135"/>
      <c r="I277" s="135"/>
      <c r="J277" s="136"/>
      <c r="K277" s="136"/>
      <c r="L277" s="136"/>
    </row>
    <row r="278" spans="2:12" s="49" customFormat="1" ht="12.75">
      <c r="B278" s="339"/>
      <c r="E278" s="10"/>
      <c r="H278" s="135"/>
      <c r="I278" s="135"/>
      <c r="J278" s="136"/>
      <c r="K278" s="136"/>
      <c r="L278" s="136"/>
    </row>
    <row r="279" spans="2:12" s="49" customFormat="1" ht="12.75">
      <c r="B279" s="339"/>
      <c r="E279" s="10"/>
      <c r="H279" s="135"/>
      <c r="I279" s="135"/>
      <c r="J279" s="136"/>
      <c r="K279" s="136"/>
      <c r="L279" s="136"/>
    </row>
    <row r="280" spans="2:12" s="49" customFormat="1" ht="12.75">
      <c r="B280" s="339"/>
      <c r="E280" s="10"/>
      <c r="H280" s="135"/>
      <c r="I280" s="135"/>
      <c r="J280" s="136"/>
      <c r="K280" s="136"/>
      <c r="L280" s="136"/>
    </row>
    <row r="281" spans="2:12" s="49" customFormat="1" ht="12.75">
      <c r="B281" s="339"/>
      <c r="E281" s="10"/>
      <c r="H281" s="135"/>
      <c r="I281" s="135"/>
      <c r="J281" s="136"/>
      <c r="K281" s="136"/>
      <c r="L281" s="136"/>
    </row>
    <row r="282" spans="2:12" s="49" customFormat="1" ht="12.75">
      <c r="B282" s="339"/>
      <c r="E282" s="10"/>
      <c r="H282" s="135"/>
      <c r="I282" s="135"/>
      <c r="J282" s="136"/>
      <c r="K282" s="136"/>
      <c r="L282" s="136"/>
    </row>
    <row r="283" spans="2:12" s="49" customFormat="1" ht="12.75">
      <c r="B283" s="339"/>
      <c r="E283" s="10"/>
      <c r="H283" s="135"/>
      <c r="I283" s="135"/>
      <c r="J283" s="136"/>
      <c r="K283" s="136"/>
      <c r="L283" s="136"/>
    </row>
    <row r="284" spans="2:12" s="49" customFormat="1" ht="12.75">
      <c r="B284" s="339"/>
      <c r="E284" s="10"/>
      <c r="H284" s="135"/>
      <c r="I284" s="135"/>
      <c r="J284" s="136"/>
      <c r="K284" s="136"/>
      <c r="L284" s="136"/>
    </row>
    <row r="285" spans="2:12" s="49" customFormat="1" ht="12.75">
      <c r="B285" s="339"/>
      <c r="E285" s="10"/>
      <c r="H285" s="135"/>
      <c r="I285" s="135"/>
      <c r="J285" s="136"/>
      <c r="K285" s="136"/>
      <c r="L285" s="136"/>
    </row>
    <row r="286" spans="2:12" s="49" customFormat="1" ht="12.75">
      <c r="B286" s="339"/>
      <c r="E286" s="10"/>
      <c r="H286" s="135"/>
      <c r="I286" s="135"/>
      <c r="J286" s="136"/>
      <c r="K286" s="136"/>
      <c r="L286" s="136"/>
    </row>
    <row r="287" spans="2:12" s="49" customFormat="1" ht="12.75">
      <c r="B287" s="339"/>
      <c r="E287" s="10"/>
      <c r="H287" s="135"/>
      <c r="I287" s="135"/>
      <c r="J287" s="136"/>
      <c r="K287" s="136"/>
      <c r="L287" s="136"/>
    </row>
    <row r="288" spans="2:12" s="49" customFormat="1" ht="12.75">
      <c r="B288" s="339"/>
      <c r="E288" s="10"/>
      <c r="H288" s="135"/>
      <c r="I288" s="135"/>
      <c r="J288" s="136"/>
      <c r="K288" s="136"/>
      <c r="L288" s="136"/>
    </row>
    <row r="289" spans="2:12" s="49" customFormat="1" ht="12.75">
      <c r="B289" s="339"/>
      <c r="E289" s="10"/>
      <c r="H289" s="135"/>
      <c r="I289" s="135"/>
      <c r="J289" s="136"/>
      <c r="K289" s="136"/>
      <c r="L289" s="136"/>
    </row>
    <row r="290" spans="2:12" s="49" customFormat="1" ht="12.75">
      <c r="B290" s="339"/>
      <c r="E290" s="10"/>
      <c r="H290" s="135"/>
      <c r="I290" s="135"/>
      <c r="J290" s="136"/>
      <c r="K290" s="136"/>
      <c r="L290" s="136"/>
    </row>
    <row r="291" spans="2:12" s="49" customFormat="1" ht="12.75">
      <c r="B291" s="339"/>
      <c r="E291" s="10"/>
      <c r="H291" s="135"/>
      <c r="I291" s="135"/>
      <c r="J291" s="136"/>
      <c r="K291" s="136"/>
      <c r="L291" s="136"/>
    </row>
    <row r="292" spans="2:12" s="49" customFormat="1" ht="12.75">
      <c r="B292" s="339"/>
      <c r="E292" s="10"/>
      <c r="H292" s="135"/>
      <c r="I292" s="135"/>
      <c r="J292" s="136"/>
      <c r="K292" s="136"/>
      <c r="L292" s="136"/>
    </row>
    <row r="293" spans="2:12" s="49" customFormat="1" ht="12.75">
      <c r="B293" s="339"/>
      <c r="E293" s="10"/>
      <c r="H293" s="135"/>
      <c r="I293" s="135"/>
      <c r="J293" s="136"/>
      <c r="K293" s="136"/>
      <c r="L293" s="136"/>
    </row>
    <row r="294" spans="2:12" s="49" customFormat="1" ht="12.75">
      <c r="B294" s="339"/>
      <c r="E294" s="10"/>
      <c r="H294" s="135"/>
      <c r="I294" s="135"/>
      <c r="J294" s="136"/>
      <c r="K294" s="136"/>
      <c r="L294" s="136"/>
    </row>
    <row r="295" spans="2:12" s="49" customFormat="1" ht="12.75">
      <c r="B295" s="339"/>
      <c r="E295" s="10"/>
      <c r="H295" s="135"/>
      <c r="I295" s="135"/>
      <c r="J295" s="136"/>
      <c r="K295" s="136"/>
      <c r="L295" s="136"/>
    </row>
    <row r="296" spans="2:12" s="49" customFormat="1" ht="12.75">
      <c r="B296" s="339"/>
      <c r="E296" s="10"/>
      <c r="H296" s="135"/>
      <c r="I296" s="135"/>
      <c r="J296" s="136"/>
      <c r="K296" s="136"/>
      <c r="L296" s="136"/>
    </row>
    <row r="297" spans="2:12" s="49" customFormat="1" ht="12.75">
      <c r="B297" s="339"/>
      <c r="E297" s="10"/>
      <c r="H297" s="135"/>
      <c r="I297" s="135"/>
      <c r="J297" s="136"/>
      <c r="K297" s="136"/>
      <c r="L297" s="136"/>
    </row>
    <row r="298" spans="2:12" s="49" customFormat="1" ht="12.75">
      <c r="B298" s="339"/>
      <c r="E298" s="10"/>
      <c r="H298" s="135"/>
      <c r="I298" s="135"/>
      <c r="J298" s="136"/>
      <c r="K298" s="136"/>
      <c r="L298" s="136"/>
    </row>
    <row r="299" spans="2:12" s="49" customFormat="1" ht="12.75">
      <c r="B299" s="339"/>
      <c r="E299" s="10"/>
      <c r="H299" s="135"/>
      <c r="I299" s="135"/>
      <c r="J299" s="136"/>
      <c r="K299" s="136"/>
      <c r="L299" s="136"/>
    </row>
    <row r="300" spans="2:12" s="49" customFormat="1" ht="12.75">
      <c r="B300" s="339"/>
      <c r="E300" s="10"/>
      <c r="H300" s="135"/>
      <c r="I300" s="135"/>
      <c r="J300" s="136"/>
      <c r="K300" s="136"/>
      <c r="L300" s="136"/>
    </row>
    <row r="301" spans="2:12" s="49" customFormat="1" ht="12.75">
      <c r="B301" s="339"/>
      <c r="E301" s="10"/>
      <c r="H301" s="135"/>
      <c r="I301" s="135"/>
      <c r="J301" s="136"/>
      <c r="K301" s="136"/>
      <c r="L301" s="136"/>
    </row>
    <row r="302" spans="2:12" s="49" customFormat="1" ht="12.75">
      <c r="B302" s="339"/>
      <c r="E302" s="10"/>
      <c r="H302" s="135"/>
      <c r="I302" s="135"/>
      <c r="J302" s="136"/>
      <c r="K302" s="136"/>
      <c r="L302" s="136"/>
    </row>
    <row r="303" spans="2:12" s="49" customFormat="1" ht="12.75">
      <c r="B303" s="339"/>
      <c r="E303" s="10"/>
      <c r="H303" s="135"/>
      <c r="I303" s="135"/>
      <c r="J303" s="136"/>
      <c r="K303" s="136"/>
      <c r="L303" s="136"/>
    </row>
    <row r="304" spans="2:12" s="49" customFormat="1" ht="12.75">
      <c r="B304" s="339"/>
      <c r="E304" s="10"/>
      <c r="H304" s="135"/>
      <c r="I304" s="135"/>
      <c r="J304" s="136"/>
      <c r="K304" s="136"/>
      <c r="L304" s="136"/>
    </row>
    <row r="305" spans="2:12" s="49" customFormat="1" ht="12.75">
      <c r="B305" s="339"/>
      <c r="E305" s="10"/>
      <c r="H305" s="135"/>
      <c r="I305" s="135"/>
      <c r="J305" s="136"/>
      <c r="K305" s="136"/>
      <c r="L305" s="136"/>
    </row>
    <row r="306" spans="2:12" s="49" customFormat="1" ht="12.75">
      <c r="B306" s="339"/>
      <c r="E306" s="10"/>
      <c r="H306" s="135"/>
      <c r="I306" s="135"/>
      <c r="J306" s="136"/>
      <c r="K306" s="136"/>
      <c r="L306" s="136"/>
    </row>
    <row r="307" spans="2:12" s="49" customFormat="1" ht="12.75">
      <c r="B307" s="339"/>
      <c r="E307" s="10"/>
      <c r="H307" s="135"/>
      <c r="I307" s="135"/>
      <c r="J307" s="136"/>
      <c r="K307" s="136"/>
      <c r="L307" s="136"/>
    </row>
    <row r="308" spans="2:12" s="49" customFormat="1" ht="12.75">
      <c r="B308" s="339"/>
      <c r="E308" s="10"/>
      <c r="H308" s="135"/>
      <c r="I308" s="135"/>
      <c r="J308" s="136"/>
      <c r="K308" s="136"/>
      <c r="L308" s="136"/>
    </row>
    <row r="309" spans="2:12" s="49" customFormat="1" ht="12.75">
      <c r="B309" s="339"/>
      <c r="E309" s="10"/>
      <c r="H309" s="135"/>
      <c r="I309" s="135"/>
      <c r="J309" s="136"/>
      <c r="K309" s="136"/>
      <c r="L309" s="136"/>
    </row>
    <row r="310" spans="2:12" s="49" customFormat="1" ht="12.75">
      <c r="B310" s="339"/>
      <c r="E310" s="10"/>
      <c r="H310" s="135"/>
      <c r="I310" s="135"/>
      <c r="J310" s="136"/>
      <c r="K310" s="136"/>
      <c r="L310" s="136"/>
    </row>
    <row r="311" spans="2:12" s="49" customFormat="1" ht="12.75">
      <c r="B311" s="339"/>
      <c r="E311" s="10"/>
      <c r="H311" s="135"/>
      <c r="I311" s="135"/>
      <c r="J311" s="136"/>
      <c r="K311" s="136"/>
      <c r="L311" s="136"/>
    </row>
    <row r="312" spans="2:12" s="49" customFormat="1" ht="12.75">
      <c r="B312" s="339"/>
      <c r="E312" s="10"/>
      <c r="H312" s="135"/>
      <c r="I312" s="135"/>
      <c r="J312" s="136"/>
      <c r="K312" s="136"/>
      <c r="L312" s="136"/>
    </row>
    <row r="313" spans="2:12" s="49" customFormat="1" ht="12.75">
      <c r="B313" s="339"/>
      <c r="E313" s="10"/>
      <c r="H313" s="135"/>
      <c r="I313" s="135"/>
      <c r="J313" s="136"/>
      <c r="K313" s="136"/>
      <c r="L313" s="136"/>
    </row>
    <row r="314" spans="2:12" s="49" customFormat="1" ht="12.75">
      <c r="B314" s="339"/>
      <c r="E314" s="10"/>
      <c r="H314" s="135"/>
      <c r="I314" s="135"/>
      <c r="J314" s="136"/>
      <c r="K314" s="136"/>
      <c r="L314" s="136"/>
    </row>
    <row r="315" spans="2:12" s="49" customFormat="1" ht="12.75">
      <c r="B315" s="339"/>
      <c r="E315" s="10"/>
      <c r="H315" s="135"/>
      <c r="I315" s="135"/>
      <c r="J315" s="136"/>
      <c r="K315" s="136"/>
      <c r="L315" s="136"/>
    </row>
    <row r="316" spans="2:12" s="49" customFormat="1" ht="12.75">
      <c r="B316" s="339"/>
      <c r="E316" s="10"/>
      <c r="H316" s="135"/>
      <c r="I316" s="135"/>
      <c r="J316" s="136"/>
      <c r="K316" s="136"/>
      <c r="L316" s="136"/>
    </row>
    <row r="317" spans="2:12" s="49" customFormat="1" ht="12.75">
      <c r="B317" s="339"/>
      <c r="E317" s="10"/>
      <c r="H317" s="135"/>
      <c r="I317" s="135"/>
      <c r="J317" s="136"/>
      <c r="K317" s="136"/>
      <c r="L317" s="136"/>
    </row>
    <row r="318" spans="2:12" s="49" customFormat="1" ht="12.75">
      <c r="B318" s="339"/>
      <c r="E318" s="10"/>
      <c r="H318" s="135"/>
      <c r="I318" s="135"/>
      <c r="J318" s="136"/>
      <c r="K318" s="136"/>
      <c r="L318" s="136"/>
    </row>
    <row r="319" spans="2:12" s="49" customFormat="1" ht="12.75">
      <c r="B319" s="339"/>
      <c r="E319" s="10"/>
      <c r="H319" s="135"/>
      <c r="I319" s="135"/>
      <c r="J319" s="136"/>
      <c r="K319" s="136"/>
      <c r="L319" s="136"/>
    </row>
    <row r="320" spans="2:12" s="49" customFormat="1" ht="12.75">
      <c r="B320" s="339"/>
      <c r="E320" s="10"/>
      <c r="H320" s="135"/>
      <c r="I320" s="135"/>
      <c r="J320" s="136"/>
      <c r="K320" s="136"/>
      <c r="L320" s="136"/>
    </row>
    <row r="321" spans="2:12" s="49" customFormat="1" ht="12.75">
      <c r="B321" s="339"/>
      <c r="E321" s="10"/>
      <c r="H321" s="135"/>
      <c r="I321" s="135"/>
      <c r="J321" s="136"/>
      <c r="K321" s="136"/>
      <c r="L321" s="136"/>
    </row>
    <row r="322" spans="2:12" s="49" customFormat="1" ht="12.75">
      <c r="B322" s="339"/>
      <c r="E322" s="10"/>
      <c r="H322" s="135"/>
      <c r="I322" s="135"/>
      <c r="J322" s="136"/>
      <c r="K322" s="136"/>
      <c r="L322" s="136"/>
    </row>
    <row r="323" spans="2:12" s="49" customFormat="1" ht="12.75">
      <c r="B323" s="339"/>
      <c r="E323" s="10"/>
      <c r="H323" s="135"/>
      <c r="I323" s="135"/>
      <c r="J323" s="136"/>
      <c r="K323" s="136"/>
      <c r="L323" s="136"/>
    </row>
    <row r="324" spans="2:12" s="49" customFormat="1" ht="12.75">
      <c r="B324" s="339"/>
      <c r="E324" s="10"/>
      <c r="H324" s="135"/>
      <c r="I324" s="135"/>
      <c r="J324" s="136"/>
      <c r="K324" s="136"/>
      <c r="L324" s="136"/>
    </row>
    <row r="325" spans="2:12" s="49" customFormat="1" ht="12.75">
      <c r="B325" s="339"/>
      <c r="E325" s="10"/>
      <c r="H325" s="135"/>
      <c r="I325" s="135"/>
      <c r="J325" s="136"/>
      <c r="K325" s="136"/>
      <c r="L325" s="136"/>
    </row>
    <row r="326" spans="2:12" s="49" customFormat="1" ht="12.75">
      <c r="B326" s="339"/>
      <c r="E326" s="10"/>
      <c r="H326" s="135"/>
      <c r="I326" s="135"/>
      <c r="J326" s="136"/>
      <c r="K326" s="136"/>
      <c r="L326" s="136"/>
    </row>
    <row r="327" spans="2:12" s="49" customFormat="1" ht="12.75">
      <c r="B327" s="339"/>
      <c r="E327" s="10"/>
      <c r="H327" s="135"/>
      <c r="I327" s="135"/>
      <c r="J327" s="136"/>
      <c r="K327" s="136"/>
      <c r="L327" s="136"/>
    </row>
    <row r="328" spans="2:12" s="49" customFormat="1" ht="12.75">
      <c r="B328" s="339"/>
      <c r="E328" s="10"/>
      <c r="H328" s="135"/>
      <c r="I328" s="135"/>
      <c r="J328" s="136"/>
      <c r="K328" s="136"/>
      <c r="L328" s="136"/>
    </row>
    <row r="329" spans="2:12" s="49" customFormat="1" ht="12.75">
      <c r="B329" s="339"/>
      <c r="E329" s="10"/>
      <c r="H329" s="135"/>
      <c r="I329" s="135"/>
      <c r="J329" s="136"/>
      <c r="K329" s="136"/>
      <c r="L329" s="136"/>
    </row>
    <row r="330" spans="2:12" s="49" customFormat="1" ht="12.75">
      <c r="B330" s="339"/>
      <c r="E330" s="10"/>
      <c r="H330" s="135"/>
      <c r="I330" s="135"/>
      <c r="J330" s="136"/>
      <c r="K330" s="136"/>
      <c r="L330" s="136"/>
    </row>
    <row r="331" spans="2:12" s="49" customFormat="1" ht="12.75">
      <c r="B331" s="339"/>
      <c r="E331" s="10"/>
      <c r="H331" s="135"/>
      <c r="I331" s="135"/>
      <c r="J331" s="136"/>
      <c r="K331" s="136"/>
      <c r="L331" s="136"/>
    </row>
    <row r="332" spans="2:12" s="49" customFormat="1" ht="12.75">
      <c r="B332" s="339"/>
      <c r="E332" s="10"/>
      <c r="H332" s="135"/>
      <c r="I332" s="135"/>
      <c r="J332" s="136"/>
      <c r="K332" s="136"/>
      <c r="L332" s="136"/>
    </row>
    <row r="333" spans="2:12" s="49" customFormat="1" ht="12.75">
      <c r="B333" s="339"/>
      <c r="E333" s="10"/>
      <c r="H333" s="135"/>
      <c r="I333" s="135"/>
      <c r="J333" s="136"/>
      <c r="K333" s="136"/>
      <c r="L333" s="136"/>
    </row>
    <row r="334" spans="2:12" s="49" customFormat="1" ht="12.75">
      <c r="B334" s="339"/>
      <c r="E334" s="10"/>
      <c r="H334" s="135"/>
      <c r="I334" s="135"/>
      <c r="J334" s="136"/>
      <c r="K334" s="136"/>
      <c r="L334" s="136"/>
    </row>
    <row r="335" spans="2:12" s="49" customFormat="1" ht="12.75">
      <c r="B335" s="339"/>
      <c r="E335" s="10"/>
      <c r="H335" s="135"/>
      <c r="I335" s="135"/>
      <c r="J335" s="136"/>
      <c r="K335" s="136"/>
      <c r="L335" s="136"/>
    </row>
    <row r="336" spans="2:12" s="49" customFormat="1" ht="12.75">
      <c r="B336" s="339"/>
      <c r="E336" s="10"/>
      <c r="H336" s="135"/>
      <c r="I336" s="135"/>
      <c r="J336" s="136"/>
      <c r="K336" s="136"/>
      <c r="L336" s="136"/>
    </row>
    <row r="337" spans="2:12" s="49" customFormat="1" ht="12.75">
      <c r="B337" s="339"/>
      <c r="E337" s="10"/>
      <c r="H337" s="135"/>
      <c r="I337" s="135"/>
      <c r="J337" s="136"/>
      <c r="K337" s="136"/>
      <c r="L337" s="136"/>
    </row>
    <row r="338" spans="2:12" s="49" customFormat="1" ht="12.75">
      <c r="B338" s="339"/>
      <c r="E338" s="10"/>
      <c r="H338" s="135"/>
      <c r="I338" s="135"/>
      <c r="J338" s="136"/>
      <c r="K338" s="136"/>
      <c r="L338" s="136"/>
    </row>
    <row r="339" spans="2:12" s="49" customFormat="1" ht="12.75">
      <c r="B339" s="339"/>
      <c r="E339" s="10"/>
      <c r="H339" s="135"/>
      <c r="I339" s="135"/>
      <c r="J339" s="136"/>
      <c r="K339" s="136"/>
      <c r="L339" s="136"/>
    </row>
    <row r="340" spans="2:12" s="49" customFormat="1" ht="12.75">
      <c r="B340" s="339"/>
      <c r="E340" s="10"/>
      <c r="H340" s="135"/>
      <c r="I340" s="135"/>
      <c r="J340" s="136"/>
      <c r="K340" s="136"/>
      <c r="L340" s="136"/>
    </row>
    <row r="341" spans="2:12" s="49" customFormat="1" ht="12.75">
      <c r="B341" s="339"/>
      <c r="E341" s="10"/>
      <c r="H341" s="135"/>
      <c r="I341" s="135"/>
      <c r="J341" s="136"/>
      <c r="K341" s="136"/>
      <c r="L341" s="136"/>
    </row>
    <row r="342" spans="2:12" s="49" customFormat="1" ht="12.75">
      <c r="B342" s="339"/>
      <c r="E342" s="10"/>
      <c r="H342" s="135"/>
      <c r="I342" s="135"/>
      <c r="J342" s="136"/>
      <c r="K342" s="136"/>
      <c r="L342" s="136"/>
    </row>
    <row r="343" spans="2:12" s="49" customFormat="1" ht="12.75">
      <c r="B343" s="339"/>
      <c r="E343" s="10"/>
      <c r="H343" s="135"/>
      <c r="I343" s="135"/>
      <c r="J343" s="136"/>
      <c r="K343" s="136"/>
      <c r="L343" s="136"/>
    </row>
    <row r="344" spans="2:12" s="49" customFormat="1" ht="12.75">
      <c r="B344" s="339"/>
      <c r="E344" s="10"/>
      <c r="H344" s="135"/>
      <c r="I344" s="135"/>
      <c r="J344" s="136"/>
      <c r="K344" s="136"/>
      <c r="L344" s="136"/>
    </row>
    <row r="345" spans="2:12" s="49" customFormat="1" ht="12.75">
      <c r="B345" s="339"/>
      <c r="E345" s="10"/>
      <c r="H345" s="135"/>
      <c r="I345" s="135"/>
      <c r="J345" s="136"/>
      <c r="K345" s="136"/>
      <c r="L345" s="136"/>
    </row>
    <row r="346" spans="2:12" s="49" customFormat="1" ht="12.75">
      <c r="B346" s="339"/>
      <c r="E346" s="10"/>
      <c r="H346" s="135"/>
      <c r="I346" s="135"/>
      <c r="J346" s="136"/>
      <c r="K346" s="136"/>
      <c r="L346" s="136"/>
    </row>
    <row r="347" spans="2:12" s="49" customFormat="1" ht="12.75">
      <c r="B347" s="339"/>
      <c r="E347" s="10"/>
      <c r="H347" s="135"/>
      <c r="I347" s="135"/>
      <c r="J347" s="136"/>
      <c r="K347" s="136"/>
      <c r="L347" s="136"/>
    </row>
    <row r="348" spans="2:12" s="49" customFormat="1" ht="12.75">
      <c r="B348" s="339"/>
      <c r="E348" s="10"/>
      <c r="H348" s="135"/>
      <c r="I348" s="135"/>
      <c r="J348" s="136"/>
      <c r="K348" s="136"/>
      <c r="L348" s="136"/>
    </row>
    <row r="349" spans="2:12" s="49" customFormat="1" ht="12.75">
      <c r="B349" s="339"/>
      <c r="E349" s="10"/>
      <c r="H349" s="135"/>
      <c r="I349" s="135"/>
      <c r="J349" s="136"/>
      <c r="K349" s="136"/>
      <c r="L349" s="136"/>
    </row>
    <row r="350" spans="2:12" s="49" customFormat="1" ht="12.75">
      <c r="B350" s="339"/>
      <c r="E350" s="10"/>
      <c r="H350" s="135"/>
      <c r="I350" s="135"/>
      <c r="J350" s="136"/>
      <c r="K350" s="136"/>
      <c r="L350" s="136"/>
    </row>
    <row r="351" spans="2:12" s="49" customFormat="1" ht="12.75">
      <c r="B351" s="339"/>
      <c r="E351" s="10"/>
      <c r="H351" s="135"/>
      <c r="I351" s="135"/>
      <c r="J351" s="136"/>
      <c r="K351" s="136"/>
      <c r="L351" s="136"/>
    </row>
    <row r="352" spans="2:12" s="49" customFormat="1" ht="12.75">
      <c r="B352" s="339"/>
      <c r="E352" s="10"/>
      <c r="H352" s="135"/>
      <c r="I352" s="135"/>
      <c r="J352" s="136"/>
      <c r="K352" s="136"/>
      <c r="L352" s="136"/>
    </row>
    <row r="353" spans="2:12" s="49" customFormat="1" ht="12.75">
      <c r="B353" s="339"/>
      <c r="E353" s="10"/>
      <c r="H353" s="135"/>
      <c r="I353" s="135"/>
      <c r="J353" s="136"/>
      <c r="K353" s="136"/>
      <c r="L353" s="136"/>
    </row>
    <row r="354" spans="2:12" s="49" customFormat="1" ht="12.75">
      <c r="B354" s="339"/>
      <c r="E354" s="10"/>
      <c r="H354" s="135"/>
      <c r="I354" s="135"/>
      <c r="J354" s="136"/>
      <c r="K354" s="136"/>
      <c r="L354" s="136"/>
    </row>
    <row r="355" spans="2:12" s="49" customFormat="1" ht="12.75">
      <c r="B355" s="339"/>
      <c r="E355" s="10"/>
      <c r="H355" s="135"/>
      <c r="I355" s="135"/>
      <c r="J355" s="136"/>
      <c r="K355" s="136"/>
      <c r="L355" s="136"/>
    </row>
    <row r="356" spans="2:12" s="49" customFormat="1" ht="12.75">
      <c r="B356" s="339"/>
      <c r="E356" s="10"/>
      <c r="H356" s="135"/>
      <c r="I356" s="135"/>
      <c r="J356" s="136"/>
      <c r="K356" s="136"/>
      <c r="L356" s="136"/>
    </row>
    <row r="357" spans="2:12" s="49" customFormat="1" ht="12.75">
      <c r="B357" s="339"/>
      <c r="E357" s="10"/>
      <c r="H357" s="135"/>
      <c r="I357" s="135"/>
      <c r="J357" s="136"/>
      <c r="K357" s="136"/>
      <c r="L357" s="136"/>
    </row>
    <row r="358" spans="2:12" s="49" customFormat="1" ht="12.75">
      <c r="B358" s="339"/>
      <c r="E358" s="10"/>
      <c r="H358" s="135"/>
      <c r="I358" s="135"/>
      <c r="J358" s="136"/>
      <c r="K358" s="136"/>
      <c r="L358" s="136"/>
    </row>
    <row r="359" spans="2:12" s="49" customFormat="1" ht="12.75">
      <c r="B359" s="339"/>
      <c r="E359" s="10"/>
      <c r="H359" s="135"/>
      <c r="I359" s="135"/>
      <c r="J359" s="136"/>
      <c r="K359" s="136"/>
      <c r="L359" s="136"/>
    </row>
    <row r="360" spans="2:12" s="49" customFormat="1" ht="12.75">
      <c r="B360" s="339"/>
      <c r="E360" s="10"/>
      <c r="H360" s="135"/>
      <c r="I360" s="135"/>
      <c r="J360" s="136"/>
      <c r="K360" s="136"/>
      <c r="L360" s="136"/>
    </row>
    <row r="361" spans="2:12" s="49" customFormat="1" ht="12.75">
      <c r="B361" s="339"/>
      <c r="E361" s="10"/>
      <c r="H361" s="135"/>
      <c r="I361" s="135"/>
      <c r="J361" s="136"/>
      <c r="K361" s="136"/>
      <c r="L361" s="136"/>
    </row>
    <row r="362" spans="2:12" s="49" customFormat="1" ht="12.75">
      <c r="B362" s="339"/>
      <c r="E362" s="10"/>
      <c r="H362" s="135"/>
      <c r="I362" s="135"/>
      <c r="J362" s="136"/>
      <c r="K362" s="136"/>
      <c r="L362" s="136"/>
    </row>
    <row r="363" spans="2:12" s="49" customFormat="1" ht="12.75">
      <c r="B363" s="339"/>
      <c r="E363" s="10"/>
      <c r="H363" s="135"/>
      <c r="I363" s="135"/>
      <c r="J363" s="136"/>
      <c r="K363" s="136"/>
      <c r="L363" s="136"/>
    </row>
    <row r="364" spans="2:12" s="49" customFormat="1" ht="12.75">
      <c r="B364" s="339"/>
      <c r="E364" s="10"/>
      <c r="H364" s="135"/>
      <c r="I364" s="135"/>
      <c r="J364" s="136"/>
      <c r="K364" s="136"/>
      <c r="L364" s="136"/>
    </row>
    <row r="365" spans="2:12" s="49" customFormat="1" ht="12.75">
      <c r="B365" s="339"/>
      <c r="E365" s="10"/>
      <c r="H365" s="135"/>
      <c r="I365" s="135"/>
      <c r="J365" s="136"/>
      <c r="K365" s="136"/>
      <c r="L365" s="136"/>
    </row>
    <row r="366" spans="2:12" s="49" customFormat="1" ht="12.75">
      <c r="B366" s="339"/>
      <c r="E366" s="10"/>
      <c r="H366" s="135"/>
      <c r="I366" s="135"/>
      <c r="J366" s="136"/>
      <c r="K366" s="136"/>
      <c r="L366" s="136"/>
    </row>
    <row r="367" spans="2:12" s="49" customFormat="1" ht="12.75">
      <c r="B367" s="339"/>
      <c r="E367" s="10"/>
      <c r="H367" s="135"/>
      <c r="I367" s="135"/>
      <c r="J367" s="136"/>
      <c r="K367" s="136"/>
      <c r="L367" s="136"/>
    </row>
    <row r="368" spans="2:12" s="49" customFormat="1" ht="12.75">
      <c r="B368" s="339"/>
      <c r="E368" s="10"/>
      <c r="H368" s="135"/>
      <c r="I368" s="135"/>
      <c r="J368" s="136"/>
      <c r="K368" s="136"/>
      <c r="L368" s="136"/>
    </row>
    <row r="369" spans="2:12" s="49" customFormat="1" ht="12.75">
      <c r="B369" s="339"/>
      <c r="E369" s="10"/>
      <c r="H369" s="135"/>
      <c r="I369" s="135"/>
      <c r="J369" s="136"/>
      <c r="K369" s="136"/>
      <c r="L369" s="136"/>
    </row>
    <row r="370" spans="2:12" s="49" customFormat="1" ht="12.75">
      <c r="B370" s="339"/>
      <c r="E370" s="10"/>
      <c r="H370" s="135"/>
      <c r="I370" s="135"/>
      <c r="J370" s="136"/>
      <c r="K370" s="136"/>
      <c r="L370" s="136"/>
    </row>
    <row r="371" spans="2:12" s="49" customFormat="1" ht="12.75">
      <c r="B371" s="339"/>
      <c r="E371" s="10"/>
      <c r="H371" s="135"/>
      <c r="I371" s="135"/>
      <c r="J371" s="136"/>
      <c r="K371" s="136"/>
      <c r="L371" s="136"/>
    </row>
    <row r="372" spans="2:12" s="49" customFormat="1" ht="12.75">
      <c r="B372" s="339"/>
      <c r="E372" s="10"/>
      <c r="H372" s="135"/>
      <c r="I372" s="135"/>
      <c r="J372" s="136"/>
      <c r="K372" s="136"/>
      <c r="L372" s="136"/>
    </row>
    <row r="373" spans="2:12" s="49" customFormat="1" ht="12.75">
      <c r="B373" s="339"/>
      <c r="E373" s="10"/>
      <c r="H373" s="135"/>
      <c r="I373" s="135"/>
      <c r="J373" s="136"/>
      <c r="K373" s="136"/>
      <c r="L373" s="136"/>
    </row>
    <row r="374" spans="2:12" s="49" customFormat="1" ht="12.75">
      <c r="B374" s="339"/>
      <c r="E374" s="10"/>
      <c r="H374" s="135"/>
      <c r="I374" s="135"/>
      <c r="J374" s="136"/>
      <c r="K374" s="136"/>
      <c r="L374" s="136"/>
    </row>
    <row r="375" spans="2:12" s="49" customFormat="1" ht="12.75">
      <c r="B375" s="339"/>
      <c r="E375" s="10"/>
      <c r="H375" s="135"/>
      <c r="I375" s="135"/>
      <c r="J375" s="136"/>
      <c r="K375" s="136"/>
      <c r="L375" s="136"/>
    </row>
    <row r="376" spans="2:12" s="49" customFormat="1" ht="12.75">
      <c r="B376" s="339"/>
      <c r="E376" s="10"/>
      <c r="H376" s="135"/>
      <c r="I376" s="135"/>
      <c r="J376" s="136"/>
      <c r="K376" s="136"/>
      <c r="L376" s="136"/>
    </row>
    <row r="377" spans="2:12" s="49" customFormat="1" ht="12.75">
      <c r="B377" s="339"/>
      <c r="E377" s="10"/>
      <c r="H377" s="135"/>
      <c r="I377" s="135"/>
      <c r="J377" s="136"/>
      <c r="K377" s="136"/>
      <c r="L377" s="136"/>
    </row>
    <row r="378" spans="2:12" s="49" customFormat="1" ht="12.75">
      <c r="B378" s="339"/>
      <c r="E378" s="10"/>
      <c r="H378" s="135"/>
      <c r="I378" s="135"/>
      <c r="J378" s="136"/>
      <c r="K378" s="136"/>
      <c r="L378" s="136"/>
    </row>
    <row r="379" spans="2:12" s="49" customFormat="1" ht="12.75">
      <c r="B379" s="339"/>
      <c r="E379" s="10"/>
      <c r="H379" s="135"/>
      <c r="I379" s="135"/>
      <c r="J379" s="136"/>
      <c r="K379" s="136"/>
      <c r="L379" s="136"/>
    </row>
    <row r="380" spans="2:12" s="49" customFormat="1" ht="12.75">
      <c r="B380" s="339"/>
      <c r="E380" s="10"/>
      <c r="H380" s="135"/>
      <c r="I380" s="135"/>
      <c r="J380" s="136"/>
      <c r="K380" s="136"/>
      <c r="L380" s="136"/>
    </row>
    <row r="381" spans="2:12" s="49" customFormat="1" ht="12.75">
      <c r="B381" s="339"/>
      <c r="E381" s="10"/>
      <c r="H381" s="135"/>
      <c r="I381" s="135"/>
      <c r="J381" s="136"/>
      <c r="K381" s="136"/>
      <c r="L381" s="136"/>
    </row>
    <row r="382" spans="2:12" s="49" customFormat="1" ht="12.75">
      <c r="B382" s="339"/>
      <c r="E382" s="10"/>
      <c r="H382" s="135"/>
      <c r="I382" s="135"/>
      <c r="J382" s="136"/>
      <c r="K382" s="136"/>
      <c r="L382" s="136"/>
    </row>
    <row r="383" spans="2:12" s="49" customFormat="1" ht="12.75">
      <c r="B383" s="339"/>
      <c r="E383" s="10"/>
      <c r="H383" s="135"/>
      <c r="I383" s="135"/>
      <c r="J383" s="136"/>
      <c r="K383" s="136"/>
      <c r="L383" s="136"/>
    </row>
    <row r="384" spans="2:12" s="49" customFormat="1" ht="12.75">
      <c r="B384" s="339"/>
      <c r="E384" s="10"/>
      <c r="H384" s="135"/>
      <c r="I384" s="135"/>
      <c r="J384" s="136"/>
      <c r="K384" s="136"/>
      <c r="L384" s="136"/>
    </row>
    <row r="385" spans="2:12" s="49" customFormat="1" ht="12.75">
      <c r="B385" s="339"/>
      <c r="E385" s="10"/>
      <c r="H385" s="135"/>
      <c r="I385" s="135"/>
      <c r="J385" s="136"/>
      <c r="K385" s="136"/>
      <c r="L385" s="136"/>
    </row>
    <row r="386" spans="2:12" s="49" customFormat="1" ht="12.75">
      <c r="B386" s="339"/>
      <c r="E386" s="10"/>
      <c r="H386" s="135"/>
      <c r="I386" s="135"/>
      <c r="J386" s="136"/>
      <c r="K386" s="136"/>
      <c r="L386" s="136"/>
    </row>
    <row r="387" spans="2:12" s="49" customFormat="1" ht="12.75">
      <c r="B387" s="339"/>
      <c r="E387" s="10"/>
      <c r="H387" s="135"/>
      <c r="I387" s="135"/>
      <c r="J387" s="136"/>
      <c r="K387" s="136"/>
      <c r="L387" s="136"/>
    </row>
    <row r="388" spans="2:12" s="49" customFormat="1" ht="12.75">
      <c r="B388" s="339"/>
      <c r="E388" s="10"/>
      <c r="H388" s="135"/>
      <c r="I388" s="135"/>
      <c r="J388" s="136"/>
      <c r="K388" s="136"/>
      <c r="L388" s="136"/>
    </row>
    <row r="389" spans="2:12" s="49" customFormat="1" ht="12.75">
      <c r="B389" s="339"/>
      <c r="E389" s="10"/>
      <c r="H389" s="135"/>
      <c r="I389" s="135"/>
      <c r="J389" s="136"/>
      <c r="K389" s="136"/>
      <c r="L389" s="136"/>
    </row>
    <row r="390" spans="2:12" s="49" customFormat="1" ht="12.75">
      <c r="B390" s="339"/>
      <c r="E390" s="10"/>
      <c r="H390" s="135"/>
      <c r="I390" s="135"/>
      <c r="J390" s="136"/>
      <c r="K390" s="136"/>
      <c r="L390" s="136"/>
    </row>
    <row r="391" spans="2:12" s="49" customFormat="1" ht="12.75">
      <c r="B391" s="339"/>
      <c r="E391" s="10"/>
      <c r="H391" s="135"/>
      <c r="I391" s="135"/>
      <c r="J391" s="136"/>
      <c r="K391" s="136"/>
      <c r="L391" s="136"/>
    </row>
    <row r="392" spans="2:12" s="49" customFormat="1" ht="12.75">
      <c r="B392" s="339"/>
      <c r="E392" s="10"/>
      <c r="H392" s="135"/>
      <c r="I392" s="135"/>
      <c r="J392" s="136"/>
      <c r="K392" s="136"/>
      <c r="L392" s="136"/>
    </row>
    <row r="393" spans="2:12" s="49" customFormat="1" ht="12.75">
      <c r="B393" s="339"/>
      <c r="E393" s="10"/>
      <c r="H393" s="135"/>
      <c r="I393" s="135"/>
      <c r="J393" s="136"/>
      <c r="K393" s="136"/>
      <c r="L393" s="136"/>
    </row>
    <row r="394" spans="2:12" s="49" customFormat="1" ht="12.75">
      <c r="B394" s="339"/>
      <c r="E394" s="10"/>
      <c r="H394" s="135"/>
      <c r="I394" s="135"/>
      <c r="J394" s="136"/>
      <c r="K394" s="136"/>
      <c r="L394" s="136"/>
    </row>
    <row r="395" spans="2:12" s="49" customFormat="1" ht="12.75">
      <c r="B395" s="339"/>
      <c r="E395" s="10"/>
      <c r="H395" s="135"/>
      <c r="I395" s="135"/>
      <c r="J395" s="136"/>
      <c r="K395" s="136"/>
      <c r="L395" s="136"/>
    </row>
    <row r="396" spans="2:12" s="49" customFormat="1" ht="12.75">
      <c r="B396" s="339"/>
      <c r="E396" s="10"/>
      <c r="H396" s="135"/>
      <c r="I396" s="135"/>
      <c r="J396" s="136"/>
      <c r="K396" s="136"/>
      <c r="L396" s="136"/>
    </row>
    <row r="397" spans="2:12" s="49" customFormat="1" ht="12.75">
      <c r="B397" s="339"/>
      <c r="E397" s="10"/>
      <c r="H397" s="135"/>
      <c r="I397" s="135"/>
      <c r="J397" s="136"/>
      <c r="K397" s="136"/>
      <c r="L397" s="136"/>
    </row>
    <row r="398" spans="2:12" s="49" customFormat="1" ht="12.75">
      <c r="B398" s="339"/>
      <c r="E398" s="10"/>
      <c r="H398" s="135"/>
      <c r="I398" s="135"/>
      <c r="J398" s="136"/>
      <c r="K398" s="136"/>
      <c r="L398" s="136"/>
    </row>
    <row r="399" spans="2:12" s="49" customFormat="1" ht="12.75">
      <c r="B399" s="339"/>
      <c r="E399" s="10"/>
      <c r="H399" s="135"/>
      <c r="I399" s="135"/>
      <c r="J399" s="136"/>
      <c r="K399" s="136"/>
      <c r="L399" s="136"/>
    </row>
    <row r="400" spans="2:12" s="49" customFormat="1" ht="12.75">
      <c r="B400" s="339"/>
      <c r="E400" s="10"/>
      <c r="H400" s="135"/>
      <c r="I400" s="135"/>
      <c r="J400" s="136"/>
      <c r="K400" s="136"/>
      <c r="L400" s="136"/>
    </row>
    <row r="401" spans="2:12" s="49" customFormat="1" ht="12.75">
      <c r="B401" s="339"/>
      <c r="E401" s="10"/>
      <c r="H401" s="135"/>
      <c r="I401" s="135"/>
      <c r="J401" s="136"/>
      <c r="K401" s="136"/>
      <c r="L401" s="136"/>
    </row>
    <row r="402" spans="2:12" s="49" customFormat="1" ht="12.75">
      <c r="B402" s="339"/>
      <c r="E402" s="10"/>
      <c r="H402" s="135"/>
      <c r="I402" s="135"/>
      <c r="J402" s="136"/>
      <c r="K402" s="136"/>
      <c r="L402" s="136"/>
    </row>
    <row r="403" spans="2:12" s="49" customFormat="1" ht="12.75">
      <c r="B403" s="339"/>
      <c r="E403" s="10"/>
      <c r="H403" s="135"/>
      <c r="I403" s="135"/>
      <c r="J403" s="136"/>
      <c r="K403" s="136"/>
      <c r="L403" s="136"/>
    </row>
    <row r="404" spans="2:12" s="49" customFormat="1" ht="12.75">
      <c r="B404" s="339"/>
      <c r="E404" s="10"/>
      <c r="H404" s="135"/>
      <c r="I404" s="135"/>
      <c r="J404" s="136"/>
      <c r="K404" s="136"/>
      <c r="L404" s="136"/>
    </row>
    <row r="405" spans="2:12" s="49" customFormat="1" ht="12.75">
      <c r="B405" s="339"/>
      <c r="E405" s="10"/>
      <c r="H405" s="135"/>
      <c r="I405" s="135"/>
      <c r="J405" s="136"/>
      <c r="K405" s="136"/>
      <c r="L405" s="136"/>
    </row>
    <row r="406" spans="2:12" s="49" customFormat="1" ht="12.75">
      <c r="B406" s="339"/>
      <c r="E406" s="10"/>
      <c r="H406" s="135"/>
      <c r="I406" s="135"/>
      <c r="J406" s="136"/>
      <c r="K406" s="136"/>
      <c r="L406" s="136"/>
    </row>
    <row r="407" spans="2:12" s="49" customFormat="1" ht="12.75">
      <c r="B407" s="339"/>
      <c r="E407" s="10"/>
      <c r="H407" s="135"/>
      <c r="I407" s="135"/>
      <c r="J407" s="136"/>
      <c r="K407" s="136"/>
      <c r="L407" s="136"/>
    </row>
    <row r="408" spans="2:12" s="49" customFormat="1" ht="12.75">
      <c r="B408" s="339"/>
      <c r="E408" s="10"/>
      <c r="H408" s="135"/>
      <c r="I408" s="135"/>
      <c r="J408" s="136"/>
      <c r="K408" s="136"/>
      <c r="L408" s="136"/>
    </row>
    <row r="409" spans="2:12" s="49" customFormat="1" ht="12.75">
      <c r="B409" s="339"/>
      <c r="E409" s="10"/>
      <c r="H409" s="135"/>
      <c r="I409" s="135"/>
      <c r="J409" s="136"/>
      <c r="K409" s="136"/>
      <c r="L409" s="136"/>
    </row>
    <row r="410" spans="2:12" s="49" customFormat="1" ht="12.75">
      <c r="B410" s="339"/>
      <c r="E410" s="10"/>
      <c r="H410" s="135"/>
      <c r="I410" s="135"/>
      <c r="J410" s="136"/>
      <c r="K410" s="136"/>
      <c r="L410" s="136"/>
    </row>
    <row r="411" spans="2:12" s="49" customFormat="1" ht="12.75">
      <c r="B411" s="339"/>
      <c r="E411" s="10"/>
      <c r="H411" s="135"/>
      <c r="I411" s="135"/>
      <c r="J411" s="136"/>
      <c r="K411" s="136"/>
      <c r="L411" s="136"/>
    </row>
    <row r="412" spans="2:12" s="49" customFormat="1" ht="12.75">
      <c r="B412" s="339"/>
      <c r="E412" s="10"/>
      <c r="H412" s="135"/>
      <c r="I412" s="135"/>
      <c r="J412" s="136"/>
      <c r="K412" s="136"/>
      <c r="L412" s="136"/>
    </row>
    <row r="413" spans="2:12" s="49" customFormat="1" ht="12.75">
      <c r="B413" s="339"/>
      <c r="E413" s="10"/>
      <c r="H413" s="135"/>
      <c r="I413" s="135"/>
      <c r="J413" s="136"/>
      <c r="K413" s="136"/>
      <c r="L413" s="136"/>
    </row>
    <row r="414" spans="2:12" s="49" customFormat="1" ht="12.75">
      <c r="B414" s="339"/>
      <c r="E414" s="10"/>
      <c r="H414" s="135"/>
      <c r="I414" s="135"/>
      <c r="J414" s="136"/>
      <c r="K414" s="136"/>
      <c r="L414" s="136"/>
    </row>
    <row r="415" spans="2:12" s="49" customFormat="1" ht="12.75">
      <c r="B415" s="339"/>
      <c r="E415" s="10"/>
      <c r="H415" s="135"/>
      <c r="I415" s="135"/>
      <c r="J415" s="136"/>
      <c r="K415" s="136"/>
      <c r="L415" s="136"/>
    </row>
    <row r="416" spans="2:12" s="49" customFormat="1" ht="12.75">
      <c r="B416" s="339"/>
      <c r="E416" s="10"/>
      <c r="H416" s="135"/>
      <c r="I416" s="135"/>
      <c r="J416" s="136"/>
      <c r="K416" s="136"/>
      <c r="L416" s="136"/>
    </row>
    <row r="417" spans="2:12" s="49" customFormat="1" ht="12.75">
      <c r="B417" s="339"/>
      <c r="E417" s="10"/>
      <c r="H417" s="135"/>
      <c r="I417" s="135"/>
      <c r="J417" s="136"/>
      <c r="K417" s="136"/>
      <c r="L417" s="136"/>
    </row>
    <row r="418" spans="2:12" s="49" customFormat="1" ht="12.75">
      <c r="B418" s="339"/>
      <c r="E418" s="10"/>
      <c r="H418" s="135"/>
      <c r="I418" s="135"/>
      <c r="J418" s="136"/>
      <c r="K418" s="136"/>
      <c r="L418" s="136"/>
    </row>
    <row r="419" spans="2:12" s="49" customFormat="1" ht="12.75">
      <c r="B419" s="339"/>
      <c r="E419" s="10"/>
      <c r="H419" s="135"/>
      <c r="I419" s="135"/>
      <c r="J419" s="136"/>
      <c r="K419" s="136"/>
      <c r="L419" s="136"/>
    </row>
    <row r="420" spans="2:12" s="49" customFormat="1" ht="12.75">
      <c r="B420" s="339"/>
      <c r="E420" s="10"/>
      <c r="H420" s="135"/>
      <c r="I420" s="135"/>
      <c r="J420" s="136"/>
      <c r="K420" s="136"/>
      <c r="L420" s="136"/>
    </row>
    <row r="421" spans="2:12" s="49" customFormat="1" ht="12.75">
      <c r="B421" s="339"/>
      <c r="E421" s="10"/>
      <c r="H421" s="135"/>
      <c r="I421" s="135"/>
      <c r="J421" s="136"/>
      <c r="K421" s="136"/>
      <c r="L421" s="136"/>
    </row>
    <row r="422" spans="2:12" s="49" customFormat="1" ht="12.75">
      <c r="B422" s="339"/>
      <c r="E422" s="10"/>
      <c r="H422" s="135"/>
      <c r="I422" s="135"/>
      <c r="J422" s="136"/>
      <c r="K422" s="136"/>
      <c r="L422" s="136"/>
    </row>
    <row r="423" spans="2:12" s="49" customFormat="1" ht="12.75">
      <c r="B423" s="339"/>
      <c r="E423" s="10"/>
      <c r="H423" s="135"/>
      <c r="I423" s="135"/>
      <c r="J423" s="136"/>
      <c r="K423" s="136"/>
      <c r="L423" s="136"/>
    </row>
    <row r="424" spans="2:12" s="49" customFormat="1" ht="12.75">
      <c r="B424" s="339"/>
      <c r="E424" s="10"/>
      <c r="H424" s="135"/>
      <c r="I424" s="135"/>
      <c r="J424" s="136"/>
      <c r="K424" s="136"/>
      <c r="L424" s="136"/>
    </row>
    <row r="425" spans="2:12" s="49" customFormat="1" ht="12.75">
      <c r="B425" s="339"/>
      <c r="E425" s="10"/>
      <c r="H425" s="135"/>
      <c r="I425" s="135"/>
      <c r="J425" s="136"/>
      <c r="K425" s="136"/>
      <c r="L425" s="136"/>
    </row>
    <row r="426" spans="2:12" s="49" customFormat="1" ht="12.75">
      <c r="B426" s="339"/>
      <c r="E426" s="10"/>
      <c r="H426" s="135"/>
      <c r="I426" s="135"/>
      <c r="J426" s="136"/>
      <c r="K426" s="136"/>
      <c r="L426" s="136"/>
    </row>
    <row r="427" spans="2:12" s="49" customFormat="1" ht="12.75">
      <c r="B427" s="339"/>
      <c r="E427" s="10"/>
      <c r="H427" s="135"/>
      <c r="I427" s="135"/>
      <c r="J427" s="136"/>
      <c r="K427" s="136"/>
      <c r="L427" s="136"/>
    </row>
    <row r="428" spans="2:12" s="49" customFormat="1" ht="12.75">
      <c r="B428" s="339"/>
      <c r="E428" s="10"/>
      <c r="H428" s="135"/>
      <c r="I428" s="135"/>
      <c r="J428" s="136"/>
      <c r="K428" s="136"/>
      <c r="L428" s="136"/>
    </row>
    <row r="429" spans="2:12" s="49" customFormat="1" ht="12.75">
      <c r="B429" s="339"/>
      <c r="E429" s="10"/>
      <c r="H429" s="135"/>
      <c r="I429" s="135"/>
      <c r="J429" s="136"/>
      <c r="K429" s="136"/>
      <c r="L429" s="136"/>
    </row>
    <row r="430" spans="2:12" s="49" customFormat="1" ht="12.75">
      <c r="B430" s="339"/>
      <c r="E430" s="10"/>
      <c r="H430" s="135"/>
      <c r="I430" s="135"/>
      <c r="J430" s="136"/>
      <c r="K430" s="136"/>
      <c r="L430" s="136"/>
    </row>
    <row r="431" spans="2:12" s="49" customFormat="1" ht="12.75">
      <c r="B431" s="339"/>
      <c r="E431" s="10"/>
      <c r="H431" s="135"/>
      <c r="I431" s="135"/>
      <c r="J431" s="136"/>
      <c r="K431" s="136"/>
      <c r="L431" s="136"/>
    </row>
    <row r="432" spans="2:12" s="49" customFormat="1" ht="12.75">
      <c r="B432" s="339"/>
      <c r="E432" s="10"/>
      <c r="H432" s="135"/>
      <c r="I432" s="135"/>
      <c r="J432" s="136"/>
      <c r="K432" s="136"/>
      <c r="L432" s="136"/>
    </row>
    <row r="433" spans="2:12" s="49" customFormat="1" ht="12.75">
      <c r="B433" s="339"/>
      <c r="E433" s="10"/>
      <c r="H433" s="135"/>
      <c r="I433" s="135"/>
      <c r="J433" s="136"/>
      <c r="K433" s="136"/>
      <c r="L433" s="136"/>
    </row>
    <row r="434" spans="2:12" s="49" customFormat="1" ht="12.75">
      <c r="B434" s="339"/>
      <c r="E434" s="10"/>
      <c r="H434" s="135"/>
      <c r="I434" s="135"/>
      <c r="J434" s="136"/>
      <c r="K434" s="136"/>
      <c r="L434" s="136"/>
    </row>
    <row r="435" spans="2:12" s="49" customFormat="1" ht="12.75">
      <c r="B435" s="339"/>
      <c r="E435" s="10"/>
      <c r="H435" s="135"/>
      <c r="I435" s="135"/>
      <c r="J435" s="136"/>
      <c r="K435" s="136"/>
      <c r="L435" s="136"/>
    </row>
    <row r="436" spans="2:12" s="49" customFormat="1" ht="12.75">
      <c r="B436" s="339"/>
      <c r="E436" s="10"/>
      <c r="H436" s="135"/>
      <c r="I436" s="135"/>
      <c r="J436" s="136"/>
      <c r="K436" s="136"/>
      <c r="L436" s="136"/>
    </row>
    <row r="437" spans="2:12" s="49" customFormat="1" ht="12.75">
      <c r="B437" s="339"/>
      <c r="E437" s="10"/>
      <c r="H437" s="135"/>
      <c r="I437" s="135"/>
      <c r="J437" s="136"/>
      <c r="K437" s="136"/>
      <c r="L437" s="136"/>
    </row>
    <row r="438" spans="2:12" s="49" customFormat="1" ht="12.75">
      <c r="B438" s="339"/>
      <c r="E438" s="10"/>
      <c r="H438" s="135"/>
      <c r="I438" s="135"/>
      <c r="J438" s="136"/>
      <c r="K438" s="136"/>
      <c r="L438" s="136"/>
    </row>
    <row r="439" spans="2:12" s="49" customFormat="1" ht="12.75">
      <c r="B439" s="339"/>
      <c r="E439" s="10"/>
      <c r="H439" s="135"/>
      <c r="I439" s="135"/>
      <c r="J439" s="136"/>
      <c r="K439" s="136"/>
      <c r="L439" s="136"/>
    </row>
    <row r="440" spans="2:12" s="49" customFormat="1" ht="12.75">
      <c r="B440" s="339"/>
      <c r="E440" s="10"/>
      <c r="H440" s="135"/>
      <c r="I440" s="135"/>
      <c r="J440" s="136"/>
      <c r="K440" s="136"/>
      <c r="L440" s="136"/>
    </row>
    <row r="441" spans="2:12" s="49" customFormat="1" ht="12.75">
      <c r="B441" s="339"/>
      <c r="E441" s="10"/>
      <c r="H441" s="135"/>
      <c r="I441" s="135"/>
      <c r="J441" s="136"/>
      <c r="K441" s="136"/>
      <c r="L441" s="136"/>
    </row>
    <row r="442" spans="2:12" s="49" customFormat="1" ht="12.75">
      <c r="B442" s="339"/>
      <c r="E442" s="10"/>
      <c r="H442" s="135"/>
      <c r="I442" s="135"/>
      <c r="J442" s="136"/>
      <c r="K442" s="136"/>
      <c r="L442" s="136"/>
    </row>
    <row r="443" spans="2:12" s="49" customFormat="1" ht="12.75">
      <c r="B443" s="339"/>
      <c r="E443" s="10"/>
      <c r="H443" s="135"/>
      <c r="I443" s="135"/>
      <c r="J443" s="136"/>
      <c r="K443" s="136"/>
      <c r="L443" s="136"/>
    </row>
    <row r="444" spans="2:12" s="49" customFormat="1" ht="12.75">
      <c r="B444" s="339"/>
      <c r="E444" s="10"/>
      <c r="H444" s="135"/>
      <c r="I444" s="135"/>
      <c r="J444" s="136"/>
      <c r="K444" s="136"/>
      <c r="L444" s="136"/>
    </row>
    <row r="445" spans="2:12" s="49" customFormat="1" ht="12.75">
      <c r="B445" s="339"/>
      <c r="E445" s="10"/>
      <c r="H445" s="135"/>
      <c r="I445" s="135"/>
      <c r="J445" s="136"/>
      <c r="K445" s="136"/>
      <c r="L445" s="136"/>
    </row>
    <row r="446" spans="2:12" s="49" customFormat="1" ht="12.75">
      <c r="B446" s="339"/>
      <c r="E446" s="10"/>
      <c r="H446" s="135"/>
      <c r="I446" s="135"/>
      <c r="J446" s="136"/>
      <c r="K446" s="136"/>
      <c r="L446" s="136"/>
    </row>
    <row r="447" spans="2:12" s="49" customFormat="1" ht="12.75">
      <c r="B447" s="339"/>
      <c r="E447" s="10"/>
      <c r="H447" s="135"/>
      <c r="I447" s="135"/>
      <c r="J447" s="136"/>
      <c r="K447" s="136"/>
      <c r="L447" s="136"/>
    </row>
    <row r="448" spans="2:12" s="49" customFormat="1" ht="12.75">
      <c r="B448" s="339"/>
      <c r="E448" s="10"/>
      <c r="H448" s="135"/>
      <c r="I448" s="135"/>
      <c r="J448" s="136"/>
      <c r="K448" s="136"/>
      <c r="L448" s="136"/>
    </row>
    <row r="449" spans="2:12" s="49" customFormat="1" ht="12.75">
      <c r="B449" s="339"/>
      <c r="E449" s="10"/>
      <c r="H449" s="135"/>
      <c r="I449" s="135"/>
      <c r="J449" s="136"/>
      <c r="K449" s="136"/>
      <c r="L449" s="136"/>
    </row>
    <row r="450" spans="2:12" s="49" customFormat="1" ht="12.75">
      <c r="B450" s="339"/>
      <c r="E450" s="10"/>
      <c r="H450" s="135"/>
      <c r="I450" s="135"/>
      <c r="J450" s="136"/>
      <c r="K450" s="136"/>
      <c r="L450" s="136"/>
    </row>
    <row r="451" spans="2:12" s="49" customFormat="1" ht="12.75">
      <c r="B451" s="339"/>
      <c r="E451" s="10"/>
      <c r="H451" s="135"/>
      <c r="I451" s="135"/>
      <c r="J451" s="136"/>
      <c r="K451" s="136"/>
      <c r="L451" s="136"/>
    </row>
    <row r="452" spans="2:12" s="49" customFormat="1" ht="12.75">
      <c r="B452" s="339"/>
      <c r="E452" s="10"/>
      <c r="H452" s="135"/>
      <c r="I452" s="135"/>
      <c r="J452" s="136"/>
      <c r="K452" s="136"/>
      <c r="L452" s="136"/>
    </row>
    <row r="453" spans="2:12" s="49" customFormat="1" ht="12.75">
      <c r="B453" s="339"/>
      <c r="E453" s="10"/>
      <c r="H453" s="135"/>
      <c r="I453" s="135"/>
      <c r="J453" s="136"/>
      <c r="K453" s="136"/>
      <c r="L453" s="136"/>
    </row>
    <row r="454" spans="2:12" s="49" customFormat="1" ht="12.75">
      <c r="B454" s="339"/>
      <c r="E454" s="10"/>
      <c r="H454" s="135"/>
      <c r="I454" s="135"/>
      <c r="J454" s="136"/>
      <c r="K454" s="136"/>
      <c r="L454" s="136"/>
    </row>
    <row r="455" spans="2:12" s="49" customFormat="1" ht="12.75">
      <c r="B455" s="339"/>
      <c r="E455" s="10"/>
      <c r="H455" s="135"/>
      <c r="I455" s="135"/>
      <c r="J455" s="136"/>
      <c r="K455" s="136"/>
      <c r="L455" s="136"/>
    </row>
    <row r="456" spans="2:12" s="49" customFormat="1" ht="12.75">
      <c r="B456" s="339"/>
      <c r="E456" s="10"/>
      <c r="H456" s="135"/>
      <c r="I456" s="135"/>
      <c r="J456" s="136"/>
      <c r="K456" s="136"/>
      <c r="L456" s="136"/>
    </row>
    <row r="457" spans="2:12" s="49" customFormat="1" ht="12.75">
      <c r="B457" s="339"/>
      <c r="E457" s="10"/>
      <c r="H457" s="135"/>
      <c r="I457" s="135"/>
      <c r="J457" s="136"/>
      <c r="K457" s="136"/>
      <c r="L457" s="136"/>
    </row>
    <row r="458" spans="2:12" s="49" customFormat="1" ht="12.75">
      <c r="B458" s="339"/>
      <c r="E458" s="10"/>
      <c r="H458" s="135"/>
      <c r="I458" s="135"/>
      <c r="J458" s="136"/>
      <c r="K458" s="136"/>
      <c r="L458" s="136"/>
    </row>
    <row r="459" spans="2:12" s="49" customFormat="1" ht="12.75">
      <c r="B459" s="339"/>
      <c r="E459" s="10"/>
      <c r="H459" s="135"/>
      <c r="I459" s="135"/>
      <c r="J459" s="136"/>
      <c r="K459" s="136"/>
      <c r="L459" s="136"/>
    </row>
    <row r="460" spans="2:12" s="49" customFormat="1" ht="12.75">
      <c r="B460" s="339"/>
      <c r="E460" s="10"/>
      <c r="H460" s="135"/>
      <c r="I460" s="135"/>
      <c r="J460" s="136"/>
      <c r="K460" s="136"/>
      <c r="L460" s="136"/>
    </row>
    <row r="461" spans="2:12" s="49" customFormat="1" ht="12.75">
      <c r="B461" s="339"/>
      <c r="E461" s="10"/>
      <c r="H461" s="135"/>
      <c r="I461" s="135"/>
      <c r="J461" s="136"/>
      <c r="K461" s="136"/>
      <c r="L461" s="136"/>
    </row>
    <row r="462" spans="2:12" s="49" customFormat="1" ht="12.75">
      <c r="B462" s="339"/>
      <c r="E462" s="10"/>
      <c r="H462" s="135"/>
      <c r="I462" s="135"/>
      <c r="J462" s="136"/>
      <c r="K462" s="136"/>
      <c r="L462" s="136"/>
    </row>
    <row r="463" spans="2:12" s="49" customFormat="1" ht="12.75">
      <c r="B463" s="339"/>
      <c r="E463" s="10"/>
      <c r="H463" s="135"/>
      <c r="I463" s="135"/>
      <c r="J463" s="136"/>
      <c r="K463" s="136"/>
      <c r="L463" s="136"/>
    </row>
    <row r="464" spans="2:12" s="49" customFormat="1" ht="12.75">
      <c r="B464" s="339"/>
      <c r="E464" s="10"/>
      <c r="H464" s="135"/>
      <c r="I464" s="135"/>
      <c r="J464" s="136"/>
      <c r="K464" s="136"/>
      <c r="L464" s="136"/>
    </row>
    <row r="465" spans="2:12" s="49" customFormat="1" ht="12.75">
      <c r="B465" s="339"/>
      <c r="E465" s="10"/>
      <c r="H465" s="135"/>
      <c r="I465" s="135"/>
      <c r="J465" s="136"/>
      <c r="K465" s="136"/>
      <c r="L465" s="136"/>
    </row>
    <row r="466" spans="2:12" s="49" customFormat="1" ht="12.75">
      <c r="B466" s="339"/>
      <c r="E466" s="10"/>
      <c r="H466" s="135"/>
      <c r="I466" s="135"/>
      <c r="J466" s="136"/>
      <c r="K466" s="136"/>
      <c r="L466" s="136"/>
    </row>
    <row r="467" spans="2:12" s="49" customFormat="1" ht="12.75">
      <c r="B467" s="339"/>
      <c r="E467" s="10"/>
      <c r="H467" s="135"/>
      <c r="I467" s="135"/>
      <c r="J467" s="136"/>
      <c r="K467" s="136"/>
      <c r="L467" s="136"/>
    </row>
    <row r="468" spans="1:7" ht="12.75">
      <c r="A468" s="49"/>
      <c r="B468" s="339"/>
      <c r="C468" s="49"/>
      <c r="D468" s="49"/>
      <c r="E468" s="10"/>
      <c r="F468" s="49"/>
      <c r="G468" s="49"/>
    </row>
  </sheetData>
  <sheetProtection/>
  <mergeCells count="12">
    <mergeCell ref="A149:G149"/>
    <mergeCell ref="A1:G1"/>
    <mergeCell ref="A7:G7"/>
    <mergeCell ref="A6:G6"/>
    <mergeCell ref="E2:G2"/>
    <mergeCell ref="E3:G3"/>
    <mergeCell ref="A143:G143"/>
    <mergeCell ref="A3:D3"/>
    <mergeCell ref="A144:G144"/>
    <mergeCell ref="E4:G4"/>
    <mergeCell ref="E5:G5"/>
    <mergeCell ref="A147:G147"/>
  </mergeCells>
  <printOptions horizontalCentered="1"/>
  <pageMargins left="0.35433070866141736" right="0.4330708661417323" top="0.38" bottom="0.76" header="0.31496062992125984" footer="0.31496062992125984"/>
  <pageSetup horizontalDpi="360" verticalDpi="360" orientation="portrait" paperSize="9" scale="6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6"/>
  <sheetViews>
    <sheetView view="pageBreakPreview" zoomScaleSheetLayoutView="100" zoomScalePageLayoutView="0" workbookViewId="0" topLeftCell="A455">
      <selection activeCell="B460" sqref="B460"/>
    </sheetView>
  </sheetViews>
  <sheetFormatPr defaultColWidth="9.140625" defaultRowHeight="12.75"/>
  <cols>
    <col min="1" max="1" width="7.7109375" style="31" customWidth="1"/>
    <col min="2" max="2" width="67.00390625" style="31" customWidth="1"/>
    <col min="3" max="3" width="8.421875" style="149" customWidth="1"/>
    <col min="4" max="4" width="13.8515625" style="150" customWidth="1"/>
    <col min="5" max="6" width="9.00390625" style="150" customWidth="1"/>
    <col min="7" max="7" width="11.28125" style="150" customWidth="1"/>
    <col min="8" max="8" width="9.421875" style="150" customWidth="1"/>
    <col min="9" max="16384" width="9.140625" style="31" customWidth="1"/>
  </cols>
  <sheetData>
    <row r="1" spans="1:10" ht="88.5" customHeight="1">
      <c r="A1" s="383"/>
      <c r="B1" s="383"/>
      <c r="C1" s="383"/>
      <c r="D1" s="383"/>
      <c r="E1" s="383"/>
      <c r="F1" s="383"/>
      <c r="G1" s="383"/>
      <c r="H1" s="383"/>
      <c r="I1" s="30"/>
      <c r="J1" s="20"/>
    </row>
    <row r="2" spans="1:10" ht="12.75">
      <c r="A2" s="384" t="str">
        <f>'ORÇAMENTO BASE'!$A$2</f>
        <v>RECURSOS: PRÓPRIOS</v>
      </c>
      <c r="B2" s="384"/>
      <c r="C2" s="384"/>
      <c r="D2" s="384"/>
      <c r="E2" s="384"/>
      <c r="F2" s="384"/>
      <c r="G2" s="384"/>
      <c r="H2" s="384"/>
      <c r="I2" s="30"/>
      <c r="J2" s="20"/>
    </row>
    <row r="3" spans="1:10" ht="12.75">
      <c r="A3" s="384" t="str">
        <f>'ORÇAMENTO BASE'!$A$3</f>
        <v>LOCAIS: TREVO DE ACESSO AO MUNICÍPIO DE TERRA NOVA E TREVO DO DISTRITO DO GUARANI</v>
      </c>
      <c r="B3" s="384"/>
      <c r="C3" s="384"/>
      <c r="D3" s="384"/>
      <c r="E3" s="384"/>
      <c r="F3" s="384"/>
      <c r="G3" s="384"/>
      <c r="H3" s="384"/>
      <c r="I3" s="30"/>
      <c r="J3" s="20"/>
    </row>
    <row r="4" spans="1:10" ht="12.75">
      <c r="A4" s="384" t="str">
        <f>'ORÇAMENTO BASE'!$A$4</f>
        <v>OBJETO: REFORMAS DOS TREVOS DE TERRA NOVA E DO DISTRITO DO GUARANI</v>
      </c>
      <c r="B4" s="384"/>
      <c r="C4" s="384"/>
      <c r="D4" s="384"/>
      <c r="E4" s="384"/>
      <c r="F4" s="384"/>
      <c r="G4" s="384"/>
      <c r="H4" s="384"/>
      <c r="I4" s="30"/>
      <c r="J4" s="20"/>
    </row>
    <row r="5" spans="1:10" ht="12.75">
      <c r="A5" s="385"/>
      <c r="B5" s="385"/>
      <c r="C5" s="385"/>
      <c r="D5" s="385"/>
      <c r="E5" s="385"/>
      <c r="F5" s="385"/>
      <c r="G5" s="385"/>
      <c r="H5" s="385"/>
      <c r="I5" s="30"/>
      <c r="J5" s="20"/>
    </row>
    <row r="6" spans="1:10" ht="12.75">
      <c r="A6" s="383" t="s">
        <v>125</v>
      </c>
      <c r="B6" s="383"/>
      <c r="C6" s="383"/>
      <c r="D6" s="383"/>
      <c r="E6" s="383"/>
      <c r="F6" s="383"/>
      <c r="G6" s="383"/>
      <c r="H6" s="383"/>
      <c r="I6" s="30"/>
      <c r="J6" s="20"/>
    </row>
    <row r="7" spans="1:10" ht="12.75">
      <c r="A7" s="32"/>
      <c r="B7" s="15"/>
      <c r="C7" s="148"/>
      <c r="D7" s="145"/>
      <c r="E7" s="145"/>
      <c r="F7" s="145"/>
      <c r="G7" s="145"/>
      <c r="H7" s="147"/>
      <c r="I7" s="33"/>
      <c r="J7" s="34"/>
    </row>
    <row r="8" spans="1:8" ht="12.75">
      <c r="A8" s="15" t="s">
        <v>4</v>
      </c>
      <c r="B8" s="15" t="s">
        <v>11</v>
      </c>
      <c r="C8" s="146" t="s">
        <v>15</v>
      </c>
      <c r="D8" s="146" t="s">
        <v>5</v>
      </c>
      <c r="E8" s="146" t="s">
        <v>6</v>
      </c>
      <c r="F8" s="146" t="s">
        <v>7</v>
      </c>
      <c r="G8" s="146" t="s">
        <v>8</v>
      </c>
      <c r="H8" s="146" t="s">
        <v>3</v>
      </c>
    </row>
    <row r="9" spans="1:8" ht="12.75">
      <c r="A9" s="7" t="s">
        <v>9</v>
      </c>
      <c r="B9" s="9" t="s">
        <v>22</v>
      </c>
      <c r="C9" s="146"/>
      <c r="D9" s="146"/>
      <c r="E9" s="146"/>
      <c r="F9" s="146"/>
      <c r="G9" s="146"/>
      <c r="H9" s="146"/>
    </row>
    <row r="10" spans="1:8" ht="12.75">
      <c r="A10" s="64" t="s">
        <v>23</v>
      </c>
      <c r="B10" s="65" t="s">
        <v>107</v>
      </c>
      <c r="C10" s="130" t="s">
        <v>29</v>
      </c>
      <c r="D10" s="41"/>
      <c r="E10" s="41"/>
      <c r="F10" s="41"/>
      <c r="G10" s="41"/>
      <c r="H10" s="41"/>
    </row>
    <row r="11" spans="1:8" ht="12.75">
      <c r="A11" s="41"/>
      <c r="B11" s="43" t="s">
        <v>114</v>
      </c>
      <c r="C11" s="41"/>
      <c r="D11" s="41">
        <v>3</v>
      </c>
      <c r="E11" s="41">
        <v>2</v>
      </c>
      <c r="F11" s="41"/>
      <c r="G11" s="41"/>
      <c r="H11" s="41">
        <f>ROUND(E11*D11,2)</f>
        <v>6</v>
      </c>
    </row>
    <row r="12" spans="1:8" ht="12.75">
      <c r="A12" s="41"/>
      <c r="B12" s="43"/>
      <c r="C12" s="41"/>
      <c r="D12" s="41"/>
      <c r="E12" s="41"/>
      <c r="F12" s="41"/>
      <c r="G12" s="46" t="s">
        <v>3</v>
      </c>
      <c r="H12" s="46">
        <f>H11</f>
        <v>6</v>
      </c>
    </row>
    <row r="13" spans="1:8" ht="12.75">
      <c r="A13" s="14"/>
      <c r="B13" s="35"/>
      <c r="C13" s="146"/>
      <c r="D13" s="146"/>
      <c r="E13" s="146"/>
      <c r="F13" s="146"/>
      <c r="G13" s="146"/>
      <c r="H13" s="146"/>
    </row>
    <row r="14" spans="1:8" ht="12.75">
      <c r="A14" s="7" t="s">
        <v>10</v>
      </c>
      <c r="B14" s="9" t="s">
        <v>426</v>
      </c>
      <c r="C14" s="146"/>
      <c r="D14" s="146"/>
      <c r="E14" s="146"/>
      <c r="F14" s="146"/>
      <c r="G14" s="146"/>
      <c r="H14" s="146"/>
    </row>
    <row r="15" spans="1:8" s="42" customFormat="1" ht="12.75">
      <c r="A15" s="7" t="s">
        <v>24</v>
      </c>
      <c r="B15" s="9" t="s">
        <v>351</v>
      </c>
      <c r="C15" s="60"/>
      <c r="D15" s="41"/>
      <c r="E15" s="41"/>
      <c r="F15" s="41"/>
      <c r="G15" s="41"/>
      <c r="H15" s="41"/>
    </row>
    <row r="16" spans="1:8" s="42" customFormat="1" ht="25.5">
      <c r="A16" s="62" t="s">
        <v>215</v>
      </c>
      <c r="B16" s="61" t="s">
        <v>122</v>
      </c>
      <c r="C16" s="171" t="s">
        <v>30</v>
      </c>
      <c r="D16" s="41"/>
      <c r="E16" s="41"/>
      <c r="F16" s="41"/>
      <c r="G16" s="41"/>
      <c r="H16" s="41"/>
    </row>
    <row r="17" spans="1:8" s="42" customFormat="1" ht="12.75">
      <c r="A17" s="41"/>
      <c r="B17" s="43" t="s">
        <v>352</v>
      </c>
      <c r="C17" s="41"/>
      <c r="D17" s="41">
        <v>3</v>
      </c>
      <c r="E17" s="41">
        <v>0.35</v>
      </c>
      <c r="F17" s="41">
        <v>2</v>
      </c>
      <c r="G17" s="41">
        <v>1</v>
      </c>
      <c r="H17" s="41">
        <f>ROUND(G17*F17*E17*D17,2)</f>
        <v>2.1</v>
      </c>
    </row>
    <row r="18" spans="1:8" s="42" customFormat="1" ht="12.75">
      <c r="A18" s="111"/>
      <c r="B18" s="63"/>
      <c r="C18" s="45"/>
      <c r="D18" s="41"/>
      <c r="E18" s="41"/>
      <c r="F18" s="41"/>
      <c r="G18" s="46" t="s">
        <v>3</v>
      </c>
      <c r="H18" s="46">
        <f>SUM(H17:H17)</f>
        <v>2.1</v>
      </c>
    </row>
    <row r="19" spans="1:8" s="42" customFormat="1" ht="12.75">
      <c r="A19" s="41"/>
      <c r="B19" s="43"/>
      <c r="C19" s="41"/>
      <c r="D19" s="41"/>
      <c r="E19" s="41"/>
      <c r="F19" s="41"/>
      <c r="G19" s="41"/>
      <c r="H19" s="41"/>
    </row>
    <row r="20" spans="1:8" s="42" customFormat="1" ht="25.5">
      <c r="A20" s="62" t="s">
        <v>216</v>
      </c>
      <c r="B20" s="61" t="s">
        <v>126</v>
      </c>
      <c r="C20" s="111" t="s">
        <v>29</v>
      </c>
      <c r="D20" s="41"/>
      <c r="E20" s="41"/>
      <c r="F20" s="41"/>
      <c r="G20" s="41"/>
      <c r="H20" s="41"/>
    </row>
    <row r="21" spans="1:8" s="42" customFormat="1" ht="12.75">
      <c r="A21" s="41"/>
      <c r="B21" s="43" t="s">
        <v>352</v>
      </c>
      <c r="C21" s="41"/>
      <c r="D21" s="41">
        <v>2.5</v>
      </c>
      <c r="E21" s="41"/>
      <c r="F21" s="41">
        <v>1.4</v>
      </c>
      <c r="G21" s="41">
        <v>1</v>
      </c>
      <c r="H21" s="41">
        <f>ROUND(G21*F21*D21,2)</f>
        <v>3.5</v>
      </c>
    </row>
    <row r="22" spans="1:8" s="42" customFormat="1" ht="12.75">
      <c r="A22" s="41"/>
      <c r="B22" s="63"/>
      <c r="C22" s="45"/>
      <c r="D22" s="41"/>
      <c r="E22" s="41"/>
      <c r="F22" s="41"/>
      <c r="G22" s="46" t="s">
        <v>3</v>
      </c>
      <c r="H22" s="46">
        <f>SUM(H21:H21)</f>
        <v>3.5</v>
      </c>
    </row>
    <row r="23" spans="1:8" s="42" customFormat="1" ht="12.75">
      <c r="A23" s="41"/>
      <c r="B23" s="43"/>
      <c r="C23" s="41"/>
      <c r="D23" s="41"/>
      <c r="E23" s="41"/>
      <c r="F23" s="41"/>
      <c r="G23" s="41"/>
      <c r="H23" s="41"/>
    </row>
    <row r="24" spans="1:8" s="42" customFormat="1" ht="25.5">
      <c r="A24" s="62" t="s">
        <v>217</v>
      </c>
      <c r="B24" s="61" t="s">
        <v>133</v>
      </c>
      <c r="C24" s="111" t="s">
        <v>29</v>
      </c>
      <c r="D24" s="41"/>
      <c r="E24" s="41"/>
      <c r="F24" s="41"/>
      <c r="G24" s="41"/>
      <c r="H24" s="41"/>
    </row>
    <row r="25" spans="1:8" s="42" customFormat="1" ht="12.75">
      <c r="A25" s="41"/>
      <c r="B25" s="43" t="s">
        <v>352</v>
      </c>
      <c r="C25" s="41"/>
      <c r="D25" s="41">
        <f>2.5+2.5+1.4+1.4</f>
        <v>7.800000000000001</v>
      </c>
      <c r="E25" s="41">
        <v>0.3</v>
      </c>
      <c r="F25" s="41"/>
      <c r="G25" s="41">
        <v>1</v>
      </c>
      <c r="H25" s="41">
        <f>ROUND(G25*E25*D25,2)</f>
        <v>2.34</v>
      </c>
    </row>
    <row r="26" spans="1:8" s="42" customFormat="1" ht="12.75">
      <c r="A26" s="41"/>
      <c r="B26" s="43"/>
      <c r="C26" s="41"/>
      <c r="D26" s="41"/>
      <c r="E26" s="41"/>
      <c r="F26" s="41"/>
      <c r="G26" s="46" t="s">
        <v>3</v>
      </c>
      <c r="H26" s="46">
        <f>SUM(H25:H25)</f>
        <v>2.34</v>
      </c>
    </row>
    <row r="27" spans="1:8" s="42" customFormat="1" ht="12.75">
      <c r="A27" s="41"/>
      <c r="B27" s="43"/>
      <c r="C27" s="41"/>
      <c r="D27" s="41"/>
      <c r="E27" s="41"/>
      <c r="F27" s="41"/>
      <c r="G27" s="41"/>
      <c r="H27" s="41"/>
    </row>
    <row r="28" spans="1:8" s="42" customFormat="1" ht="38.25">
      <c r="A28" s="62" t="s">
        <v>218</v>
      </c>
      <c r="B28" s="6" t="s">
        <v>134</v>
      </c>
      <c r="C28" s="5" t="s">
        <v>29</v>
      </c>
      <c r="D28" s="41"/>
      <c r="E28" s="41"/>
      <c r="F28" s="41"/>
      <c r="G28" s="41"/>
      <c r="H28" s="41"/>
    </row>
    <row r="29" spans="1:8" s="42" customFormat="1" ht="12.75">
      <c r="A29" s="41"/>
      <c r="B29" s="43" t="s">
        <v>353</v>
      </c>
      <c r="C29" s="41"/>
      <c r="D29" s="41">
        <v>1</v>
      </c>
      <c r="E29" s="41">
        <v>4.9</v>
      </c>
      <c r="F29" s="41"/>
      <c r="G29" s="41">
        <v>2</v>
      </c>
      <c r="H29" s="41">
        <f>ROUND(G29*E29*D29,2)</f>
        <v>9.8</v>
      </c>
    </row>
    <row r="30" spans="1:8" s="42" customFormat="1" ht="12.75">
      <c r="A30" s="41"/>
      <c r="B30" s="43" t="s">
        <v>354</v>
      </c>
      <c r="C30" s="41"/>
      <c r="D30" s="41">
        <v>0.35</v>
      </c>
      <c r="E30" s="41">
        <v>4.9</v>
      </c>
      <c r="F30" s="41"/>
      <c r="G30" s="41">
        <v>2</v>
      </c>
      <c r="H30" s="41">
        <f>ROUND(G30*E30*D30,2)</f>
        <v>3.43</v>
      </c>
    </row>
    <row r="31" spans="1:8" s="42" customFormat="1" ht="12.75">
      <c r="A31" s="41"/>
      <c r="B31" s="43"/>
      <c r="C31" s="41"/>
      <c r="D31" s="41"/>
      <c r="E31" s="41"/>
      <c r="F31" s="41"/>
      <c r="G31" s="46" t="s">
        <v>3</v>
      </c>
      <c r="H31" s="46">
        <f>SUM(H29:H30)</f>
        <v>13.23</v>
      </c>
    </row>
    <row r="32" spans="1:8" s="42" customFormat="1" ht="12.75">
      <c r="A32" s="41"/>
      <c r="B32" s="43"/>
      <c r="C32" s="41"/>
      <c r="D32" s="41"/>
      <c r="E32" s="41"/>
      <c r="F32" s="41"/>
      <c r="G32" s="41"/>
      <c r="H32" s="41"/>
    </row>
    <row r="33" spans="1:8" s="42" customFormat="1" ht="25.5">
      <c r="A33" s="64" t="s">
        <v>219</v>
      </c>
      <c r="B33" s="6" t="s">
        <v>328</v>
      </c>
      <c r="C33" s="5" t="s">
        <v>106</v>
      </c>
      <c r="D33" s="41"/>
      <c r="E33" s="41"/>
      <c r="F33" s="41"/>
      <c r="G33" s="41"/>
      <c r="H33" s="41"/>
    </row>
    <row r="34" spans="1:8" s="42" customFormat="1" ht="12.75">
      <c r="A34" s="41"/>
      <c r="B34" s="43" t="s">
        <v>144</v>
      </c>
      <c r="C34" s="41"/>
      <c r="D34" s="41"/>
      <c r="E34" s="41"/>
      <c r="F34" s="41"/>
      <c r="G34" s="41"/>
      <c r="H34" s="41">
        <v>25</v>
      </c>
    </row>
    <row r="35" spans="1:8" s="42" customFormat="1" ht="12.75">
      <c r="A35" s="41"/>
      <c r="B35" s="43"/>
      <c r="C35" s="41"/>
      <c r="D35" s="41"/>
      <c r="E35" s="41"/>
      <c r="F35" s="41"/>
      <c r="G35" s="46" t="s">
        <v>3</v>
      </c>
      <c r="H35" s="46">
        <f>SUM(H34:H34)</f>
        <v>25</v>
      </c>
    </row>
    <row r="36" spans="1:8" s="42" customFormat="1" ht="12.75">
      <c r="A36" s="41"/>
      <c r="B36" s="43"/>
      <c r="C36" s="41"/>
      <c r="D36" s="41"/>
      <c r="E36" s="41"/>
      <c r="F36" s="41"/>
      <c r="G36" s="41"/>
      <c r="H36" s="41"/>
    </row>
    <row r="37" spans="1:8" s="42" customFormat="1" ht="25.5">
      <c r="A37" s="62" t="s">
        <v>220</v>
      </c>
      <c r="B37" s="61" t="s">
        <v>137</v>
      </c>
      <c r="C37" s="111" t="s">
        <v>106</v>
      </c>
      <c r="D37" s="41"/>
      <c r="E37" s="41"/>
      <c r="F37" s="41"/>
      <c r="G37" s="41"/>
      <c r="H37" s="41"/>
    </row>
    <row r="38" spans="1:8" s="42" customFormat="1" ht="12.75">
      <c r="A38" s="41"/>
      <c r="B38" s="43" t="s">
        <v>144</v>
      </c>
      <c r="C38" s="41"/>
      <c r="D38" s="41"/>
      <c r="E38" s="41"/>
      <c r="F38" s="41"/>
      <c r="G38" s="41"/>
      <c r="H38" s="41">
        <v>93</v>
      </c>
    </row>
    <row r="39" spans="1:8" s="42" customFormat="1" ht="12.75">
      <c r="A39" s="41"/>
      <c r="B39" s="43"/>
      <c r="C39" s="41"/>
      <c r="D39" s="41"/>
      <c r="E39" s="41"/>
      <c r="F39" s="41"/>
      <c r="G39" s="46" t="s">
        <v>3</v>
      </c>
      <c r="H39" s="46">
        <f>SUM(H38:H38)</f>
        <v>93</v>
      </c>
    </row>
    <row r="40" spans="1:8" s="42" customFormat="1" ht="12.75">
      <c r="A40" s="41"/>
      <c r="B40" s="43"/>
      <c r="C40" s="41"/>
      <c r="D40" s="41"/>
      <c r="E40" s="41"/>
      <c r="F40" s="41"/>
      <c r="G40" s="41"/>
      <c r="H40" s="41"/>
    </row>
    <row r="41" spans="1:8" s="42" customFormat="1" ht="25.5">
      <c r="A41" s="62" t="s">
        <v>221</v>
      </c>
      <c r="B41" s="6" t="s">
        <v>135</v>
      </c>
      <c r="C41" s="5" t="s">
        <v>30</v>
      </c>
      <c r="D41" s="41"/>
      <c r="E41" s="41"/>
      <c r="F41" s="41"/>
      <c r="G41" s="41"/>
      <c r="H41" s="41"/>
    </row>
    <row r="42" spans="1:8" s="42" customFormat="1" ht="12.75">
      <c r="A42" s="41"/>
      <c r="B42" s="43" t="s">
        <v>352</v>
      </c>
      <c r="C42" s="41"/>
      <c r="D42" s="41">
        <v>2.5</v>
      </c>
      <c r="E42" s="41">
        <v>0.3</v>
      </c>
      <c r="F42" s="41">
        <v>1.4</v>
      </c>
      <c r="G42" s="41">
        <v>1</v>
      </c>
      <c r="H42" s="41">
        <f>ROUND(G42*F42*E42*D42,2)</f>
        <v>1.05</v>
      </c>
    </row>
    <row r="43" spans="1:8" s="42" customFormat="1" ht="12.75">
      <c r="A43" s="41"/>
      <c r="B43" s="43" t="s">
        <v>356</v>
      </c>
      <c r="C43" s="41"/>
      <c r="D43" s="41">
        <v>2.3</v>
      </c>
      <c r="E43" s="41">
        <v>0.1</v>
      </c>
      <c r="F43" s="41">
        <v>1.2</v>
      </c>
      <c r="G43" s="41">
        <v>1</v>
      </c>
      <c r="H43" s="41">
        <f>ROUND(G43*F43*E43*D43,2)</f>
        <v>0.28</v>
      </c>
    </row>
    <row r="44" spans="1:8" s="42" customFormat="1" ht="12.75">
      <c r="A44" s="41"/>
      <c r="B44" s="43" t="s">
        <v>355</v>
      </c>
      <c r="C44" s="41"/>
      <c r="D44" s="41">
        <v>1</v>
      </c>
      <c r="E44" s="41">
        <v>4.9</v>
      </c>
      <c r="F44" s="41">
        <v>0.35</v>
      </c>
      <c r="G44" s="41">
        <v>1</v>
      </c>
      <c r="H44" s="41">
        <f>ROUND(G44*F44*E44*D44,2)</f>
        <v>1.72</v>
      </c>
    </row>
    <row r="45" spans="1:8" s="42" customFormat="1" ht="12.75">
      <c r="A45" s="41"/>
      <c r="B45" s="43"/>
      <c r="C45" s="41"/>
      <c r="D45" s="41"/>
      <c r="E45" s="41"/>
      <c r="F45" s="41"/>
      <c r="G45" s="46" t="s">
        <v>3</v>
      </c>
      <c r="H45" s="46">
        <f>SUM(H42:H44)</f>
        <v>3.05</v>
      </c>
    </row>
    <row r="46" spans="1:8" s="42" customFormat="1" ht="12.75">
      <c r="A46" s="41"/>
      <c r="B46" s="43"/>
      <c r="C46" s="41"/>
      <c r="D46" s="41"/>
      <c r="E46" s="41"/>
      <c r="F46" s="41"/>
      <c r="G46" s="41"/>
      <c r="H46" s="41"/>
    </row>
    <row r="47" spans="1:8" s="42" customFormat="1" ht="25.5">
      <c r="A47" s="62" t="s">
        <v>222</v>
      </c>
      <c r="B47" s="6" t="s">
        <v>136</v>
      </c>
      <c r="C47" s="5" t="s">
        <v>30</v>
      </c>
      <c r="D47" s="41"/>
      <c r="E47" s="41"/>
      <c r="F47" s="41"/>
      <c r="G47" s="41"/>
      <c r="H47" s="41"/>
    </row>
    <row r="48" spans="1:8" s="42" customFormat="1" ht="12.75">
      <c r="A48" s="41"/>
      <c r="B48" s="43" t="s">
        <v>352</v>
      </c>
      <c r="C48" s="41"/>
      <c r="D48" s="41">
        <v>2.5</v>
      </c>
      <c r="E48" s="41">
        <v>0.3</v>
      </c>
      <c r="F48" s="41">
        <v>1.4</v>
      </c>
      <c r="G48" s="41">
        <v>1</v>
      </c>
      <c r="H48" s="41">
        <f>ROUND(G48*F48*E48*D48,2)</f>
        <v>1.05</v>
      </c>
    </row>
    <row r="49" spans="1:8" s="42" customFormat="1" ht="12.75">
      <c r="A49" s="41"/>
      <c r="B49" s="43" t="s">
        <v>356</v>
      </c>
      <c r="C49" s="41"/>
      <c r="D49" s="41">
        <v>2.3</v>
      </c>
      <c r="E49" s="41">
        <v>0.1</v>
      </c>
      <c r="F49" s="41">
        <v>1.2</v>
      </c>
      <c r="G49" s="41">
        <v>1</v>
      </c>
      <c r="H49" s="41">
        <f>ROUND(G49*F49*E49*D49,2)</f>
        <v>0.28</v>
      </c>
    </row>
    <row r="50" spans="1:8" s="42" customFormat="1" ht="12.75">
      <c r="A50" s="41"/>
      <c r="B50" s="43" t="s">
        <v>355</v>
      </c>
      <c r="C50" s="41"/>
      <c r="D50" s="41">
        <v>1</v>
      </c>
      <c r="E50" s="41">
        <v>4.9</v>
      </c>
      <c r="F50" s="41">
        <v>0.35</v>
      </c>
      <c r="G50" s="41">
        <v>1</v>
      </c>
      <c r="H50" s="41">
        <f>ROUND(G50*F50*E50*D50,2)</f>
        <v>1.72</v>
      </c>
    </row>
    <row r="51" spans="1:8" s="42" customFormat="1" ht="12.75">
      <c r="A51" s="41"/>
      <c r="B51" s="43"/>
      <c r="C51" s="41"/>
      <c r="D51" s="41"/>
      <c r="E51" s="41"/>
      <c r="F51" s="41"/>
      <c r="G51" s="46" t="s">
        <v>3</v>
      </c>
      <c r="H51" s="46">
        <f>SUM(H48:H50)</f>
        <v>3.05</v>
      </c>
    </row>
    <row r="52" spans="1:8" s="42" customFormat="1" ht="12.75">
      <c r="A52" s="41"/>
      <c r="B52" s="43"/>
      <c r="C52" s="41"/>
      <c r="D52" s="41"/>
      <c r="E52" s="41"/>
      <c r="F52" s="41"/>
      <c r="G52" s="41"/>
      <c r="H52" s="41"/>
    </row>
    <row r="53" spans="1:8" s="42" customFormat="1" ht="12.75">
      <c r="A53" s="62" t="s">
        <v>223</v>
      </c>
      <c r="B53" s="6" t="s">
        <v>143</v>
      </c>
      <c r="C53" s="5" t="s">
        <v>30</v>
      </c>
      <c r="D53" s="41"/>
      <c r="E53" s="41"/>
      <c r="F53" s="41"/>
      <c r="G53" s="41"/>
      <c r="H53" s="41"/>
    </row>
    <row r="54" spans="1:8" s="42" customFormat="1" ht="12.75">
      <c r="A54" s="41"/>
      <c r="B54" s="43" t="s">
        <v>357</v>
      </c>
      <c r="C54" s="41"/>
      <c r="D54" s="41">
        <v>3</v>
      </c>
      <c r="E54" s="41">
        <v>0.3</v>
      </c>
      <c r="F54" s="41">
        <v>2</v>
      </c>
      <c r="G54" s="41">
        <v>1</v>
      </c>
      <c r="H54" s="41">
        <f>ROUND(G54*F54*E54*D54,2)</f>
        <v>1.8</v>
      </c>
    </row>
    <row r="55" spans="1:8" s="42" customFormat="1" ht="12.75">
      <c r="A55" s="41"/>
      <c r="B55" s="47" t="s">
        <v>358</v>
      </c>
      <c r="C55" s="48"/>
      <c r="D55" s="48">
        <v>2.5</v>
      </c>
      <c r="E55" s="48">
        <v>0.3</v>
      </c>
      <c r="F55" s="48">
        <v>1.4</v>
      </c>
      <c r="G55" s="48">
        <v>-1</v>
      </c>
      <c r="H55" s="48">
        <f>ROUND(G55*F55*E55*D55,2)</f>
        <v>-1.05</v>
      </c>
    </row>
    <row r="56" spans="1:8" s="42" customFormat="1" ht="12.75">
      <c r="A56" s="41"/>
      <c r="B56" s="43"/>
      <c r="C56" s="41"/>
      <c r="D56" s="41"/>
      <c r="E56" s="41"/>
      <c r="F56" s="41"/>
      <c r="G56" s="46" t="s">
        <v>3</v>
      </c>
      <c r="H56" s="46">
        <f>SUM(H54:H55)</f>
        <v>0.75</v>
      </c>
    </row>
    <row r="57" spans="1:8" s="42" customFormat="1" ht="12.75">
      <c r="A57" s="41"/>
      <c r="B57" s="43"/>
      <c r="C57" s="41"/>
      <c r="D57" s="41"/>
      <c r="E57" s="41"/>
      <c r="F57" s="41"/>
      <c r="G57" s="41"/>
      <c r="H57" s="41"/>
    </row>
    <row r="58" spans="1:8" s="42" customFormat="1" ht="12.75">
      <c r="A58" s="7" t="s">
        <v>224</v>
      </c>
      <c r="B58" s="9" t="s">
        <v>149</v>
      </c>
      <c r="C58" s="60"/>
      <c r="D58" s="41"/>
      <c r="E58" s="41"/>
      <c r="F58" s="41"/>
      <c r="G58" s="41"/>
      <c r="H58" s="41"/>
    </row>
    <row r="59" spans="1:8" s="42" customFormat="1" ht="38.25">
      <c r="A59" s="64" t="s">
        <v>225</v>
      </c>
      <c r="B59" s="65" t="s">
        <v>104</v>
      </c>
      <c r="C59" s="171" t="s">
        <v>29</v>
      </c>
      <c r="D59" s="41"/>
      <c r="E59" s="41"/>
      <c r="F59" s="41"/>
      <c r="G59" s="41"/>
      <c r="H59" s="41"/>
    </row>
    <row r="60" spans="1:8" s="42" customFormat="1" ht="12.75">
      <c r="A60" s="41"/>
      <c r="B60" s="43" t="s">
        <v>353</v>
      </c>
      <c r="C60" s="41"/>
      <c r="D60" s="41">
        <v>1</v>
      </c>
      <c r="E60" s="41">
        <v>4.9</v>
      </c>
      <c r="F60" s="41"/>
      <c r="G60" s="41">
        <v>2</v>
      </c>
      <c r="H60" s="41">
        <f>ROUND(G60*E60*D60,2)</f>
        <v>9.8</v>
      </c>
    </row>
    <row r="61" spans="1:8" s="42" customFormat="1" ht="12.75">
      <c r="A61" s="41"/>
      <c r="B61" s="43" t="s">
        <v>354</v>
      </c>
      <c r="C61" s="41"/>
      <c r="D61" s="41">
        <v>0.35</v>
      </c>
      <c r="E61" s="41">
        <v>4.9</v>
      </c>
      <c r="F61" s="41"/>
      <c r="G61" s="41">
        <v>2</v>
      </c>
      <c r="H61" s="41">
        <f>ROUND(G61*E61*D61,2)</f>
        <v>3.43</v>
      </c>
    </row>
    <row r="62" spans="1:8" s="42" customFormat="1" ht="12.75">
      <c r="A62" s="41"/>
      <c r="B62" s="43" t="s">
        <v>359</v>
      </c>
      <c r="C62" s="41"/>
      <c r="D62" s="41">
        <v>1</v>
      </c>
      <c r="E62" s="41"/>
      <c r="F62" s="41">
        <v>0.35</v>
      </c>
      <c r="G62" s="41">
        <v>1</v>
      </c>
      <c r="H62" s="41">
        <f>ROUND(G62*F62*D62,2)</f>
        <v>0.35</v>
      </c>
    </row>
    <row r="63" spans="1:8" s="42" customFormat="1" ht="12.75">
      <c r="A63" s="41"/>
      <c r="B63" s="43"/>
      <c r="C63" s="41"/>
      <c r="D63" s="41"/>
      <c r="E63" s="41"/>
      <c r="F63" s="41"/>
      <c r="G63" s="46" t="s">
        <v>3</v>
      </c>
      <c r="H63" s="46">
        <f>SUM(H60:H62)</f>
        <v>13.58</v>
      </c>
    </row>
    <row r="64" spans="1:8" s="42" customFormat="1" ht="12.75">
      <c r="A64" s="41"/>
      <c r="B64" s="43"/>
      <c r="C64" s="41"/>
      <c r="D64" s="41"/>
      <c r="E64" s="41"/>
      <c r="F64" s="41"/>
      <c r="G64" s="41"/>
      <c r="H64" s="41"/>
    </row>
    <row r="65" spans="1:8" s="42" customFormat="1" ht="51">
      <c r="A65" s="64" t="s">
        <v>226</v>
      </c>
      <c r="B65" s="6" t="s">
        <v>244</v>
      </c>
      <c r="C65" s="5" t="s">
        <v>29</v>
      </c>
      <c r="D65" s="41"/>
      <c r="E65" s="41"/>
      <c r="F65" s="41"/>
      <c r="G65" s="41"/>
      <c r="H65" s="41"/>
    </row>
    <row r="66" spans="1:8" s="42" customFormat="1" ht="12.75">
      <c r="A66" s="41"/>
      <c r="B66" s="43" t="s">
        <v>353</v>
      </c>
      <c r="C66" s="41"/>
      <c r="D66" s="41">
        <v>1</v>
      </c>
      <c r="E66" s="41">
        <v>4.9</v>
      </c>
      <c r="F66" s="41"/>
      <c r="G66" s="41">
        <v>2</v>
      </c>
      <c r="H66" s="41">
        <f>ROUND(G66*E66*D66,2)</f>
        <v>9.8</v>
      </c>
    </row>
    <row r="67" spans="1:8" s="42" customFormat="1" ht="12.75">
      <c r="A67" s="41"/>
      <c r="B67" s="43" t="s">
        <v>354</v>
      </c>
      <c r="C67" s="41"/>
      <c r="D67" s="41">
        <v>0.35</v>
      </c>
      <c r="E67" s="41">
        <v>4.9</v>
      </c>
      <c r="F67" s="41"/>
      <c r="G67" s="41">
        <v>2</v>
      </c>
      <c r="H67" s="41">
        <f>ROUND(G67*E67*D67,2)</f>
        <v>3.43</v>
      </c>
    </row>
    <row r="68" spans="1:8" s="42" customFormat="1" ht="12.75">
      <c r="A68" s="41"/>
      <c r="B68" s="43" t="s">
        <v>359</v>
      </c>
      <c r="C68" s="41"/>
      <c r="D68" s="41">
        <v>1</v>
      </c>
      <c r="E68" s="41"/>
      <c r="F68" s="41">
        <v>0.35</v>
      </c>
      <c r="G68" s="41">
        <v>1</v>
      </c>
      <c r="H68" s="41">
        <f>ROUND(G68*F68*D68,2)</f>
        <v>0.35</v>
      </c>
    </row>
    <row r="69" spans="1:8" s="42" customFormat="1" ht="12.75">
      <c r="A69" s="41"/>
      <c r="B69" s="43"/>
      <c r="C69" s="41"/>
      <c r="D69" s="41"/>
      <c r="E69" s="41"/>
      <c r="F69" s="41"/>
      <c r="G69" s="46" t="s">
        <v>3</v>
      </c>
      <c r="H69" s="46">
        <f>SUM(H66:H68)</f>
        <v>13.58</v>
      </c>
    </row>
    <row r="70" spans="1:8" s="42" customFormat="1" ht="12.75">
      <c r="A70" s="41"/>
      <c r="B70" s="43"/>
      <c r="C70" s="41"/>
      <c r="D70" s="41"/>
      <c r="E70" s="41"/>
      <c r="F70" s="41"/>
      <c r="G70" s="41"/>
      <c r="H70" s="41"/>
    </row>
    <row r="71" spans="1:10" s="42" customFormat="1" ht="25.5">
      <c r="A71" s="64" t="s">
        <v>227</v>
      </c>
      <c r="B71" s="6" t="s">
        <v>246</v>
      </c>
      <c r="C71" s="5" t="s">
        <v>29</v>
      </c>
      <c r="D71" s="41"/>
      <c r="E71" s="41"/>
      <c r="F71" s="41"/>
      <c r="G71" s="41"/>
      <c r="H71" s="41"/>
      <c r="J71" s="42">
        <f>H75+H81</f>
        <v>27.16</v>
      </c>
    </row>
    <row r="72" spans="1:8" s="42" customFormat="1" ht="12.75">
      <c r="A72" s="41"/>
      <c r="B72" s="43" t="s">
        <v>353</v>
      </c>
      <c r="C72" s="41"/>
      <c r="D72" s="41">
        <v>1</v>
      </c>
      <c r="E72" s="41">
        <v>4.9</v>
      </c>
      <c r="F72" s="41"/>
      <c r="G72" s="41">
        <v>2</v>
      </c>
      <c r="H72" s="41">
        <f>ROUND(G72*E72*D72,2)</f>
        <v>9.8</v>
      </c>
    </row>
    <row r="73" spans="1:8" s="42" customFormat="1" ht="12.75">
      <c r="A73" s="41"/>
      <c r="B73" s="43" t="s">
        <v>354</v>
      </c>
      <c r="C73" s="41"/>
      <c r="D73" s="41">
        <v>0.35</v>
      </c>
      <c r="E73" s="41">
        <v>4.9</v>
      </c>
      <c r="F73" s="41"/>
      <c r="G73" s="41">
        <v>2</v>
      </c>
      <c r="H73" s="41">
        <f>ROUND(G73*E73*D73,2)</f>
        <v>3.43</v>
      </c>
    </row>
    <row r="74" spans="1:8" s="42" customFormat="1" ht="12.75">
      <c r="A74" s="41"/>
      <c r="B74" s="43" t="s">
        <v>359</v>
      </c>
      <c r="C74" s="41"/>
      <c r="D74" s="41">
        <v>1</v>
      </c>
      <c r="E74" s="41"/>
      <c r="F74" s="41">
        <v>0.35</v>
      </c>
      <c r="G74" s="41">
        <v>1</v>
      </c>
      <c r="H74" s="41">
        <f>ROUND(G74*F74*D74,2)</f>
        <v>0.35</v>
      </c>
    </row>
    <row r="75" spans="1:8" s="42" customFormat="1" ht="12.75">
      <c r="A75" s="41"/>
      <c r="B75" s="43"/>
      <c r="C75" s="41"/>
      <c r="D75" s="41"/>
      <c r="E75" s="41"/>
      <c r="F75" s="41"/>
      <c r="G75" s="46" t="s">
        <v>3</v>
      </c>
      <c r="H75" s="46">
        <f>SUM(H72:H74)</f>
        <v>13.58</v>
      </c>
    </row>
    <row r="76" spans="1:8" s="42" customFormat="1" ht="12.75">
      <c r="A76" s="41"/>
      <c r="B76" s="43"/>
      <c r="C76" s="41"/>
      <c r="D76" s="41"/>
      <c r="E76" s="41"/>
      <c r="F76" s="41"/>
      <c r="G76" s="41"/>
      <c r="H76" s="41"/>
    </row>
    <row r="77" spans="1:8" s="42" customFormat="1" ht="25.5">
      <c r="A77" s="64" t="s">
        <v>228</v>
      </c>
      <c r="B77" s="6" t="s">
        <v>248</v>
      </c>
      <c r="C77" s="5" t="s">
        <v>29</v>
      </c>
      <c r="D77" s="41"/>
      <c r="E77" s="41"/>
      <c r="F77" s="41"/>
      <c r="G77" s="41"/>
      <c r="H77" s="41"/>
    </row>
    <row r="78" spans="1:8" s="42" customFormat="1" ht="12.75">
      <c r="A78" s="41"/>
      <c r="B78" s="43" t="s">
        <v>353</v>
      </c>
      <c r="C78" s="41"/>
      <c r="D78" s="41">
        <v>1</v>
      </c>
      <c r="E78" s="41">
        <v>4.9</v>
      </c>
      <c r="F78" s="41"/>
      <c r="G78" s="41">
        <v>2</v>
      </c>
      <c r="H78" s="41">
        <f>ROUND(G78*E78*D78,2)</f>
        <v>9.8</v>
      </c>
    </row>
    <row r="79" spans="1:8" s="42" customFormat="1" ht="12.75">
      <c r="A79" s="41"/>
      <c r="B79" s="43" t="s">
        <v>354</v>
      </c>
      <c r="C79" s="41"/>
      <c r="D79" s="41">
        <v>0.35</v>
      </c>
      <c r="E79" s="41">
        <v>4.9</v>
      </c>
      <c r="F79" s="41"/>
      <c r="G79" s="41">
        <v>2</v>
      </c>
      <c r="H79" s="41">
        <f>ROUND(G79*E79*D79,2)</f>
        <v>3.43</v>
      </c>
    </row>
    <row r="80" spans="1:8" s="42" customFormat="1" ht="12.75">
      <c r="A80" s="41"/>
      <c r="B80" s="43" t="s">
        <v>359</v>
      </c>
      <c r="C80" s="41"/>
      <c r="D80" s="41">
        <v>1</v>
      </c>
      <c r="E80" s="41"/>
      <c r="F80" s="41">
        <v>0.35</v>
      </c>
      <c r="G80" s="41">
        <v>1</v>
      </c>
      <c r="H80" s="41">
        <f>ROUND(G80*F80*D80,2)</f>
        <v>0.35</v>
      </c>
    </row>
    <row r="81" spans="1:8" s="42" customFormat="1" ht="12.75">
      <c r="A81" s="41"/>
      <c r="B81" s="43"/>
      <c r="C81" s="41"/>
      <c r="D81" s="41"/>
      <c r="E81" s="41"/>
      <c r="F81" s="41"/>
      <c r="G81" s="46" t="s">
        <v>3</v>
      </c>
      <c r="H81" s="46">
        <f>SUM(H78:H80)</f>
        <v>13.58</v>
      </c>
    </row>
    <row r="82" spans="1:8" s="42" customFormat="1" ht="12.75">
      <c r="A82" s="41"/>
      <c r="B82" s="43"/>
      <c r="C82" s="41"/>
      <c r="D82" s="41"/>
      <c r="E82" s="41"/>
      <c r="F82" s="41"/>
      <c r="G82" s="41"/>
      <c r="H82" s="41"/>
    </row>
    <row r="83" spans="1:8" s="42" customFormat="1" ht="25.5">
      <c r="A83" s="64" t="s">
        <v>229</v>
      </c>
      <c r="B83" s="61" t="s">
        <v>360</v>
      </c>
      <c r="C83" s="111" t="s">
        <v>35</v>
      </c>
      <c r="D83" s="41"/>
      <c r="E83" s="41"/>
      <c r="F83" s="41"/>
      <c r="G83" s="41"/>
      <c r="H83" s="41"/>
    </row>
    <row r="84" spans="1:8" s="42" customFormat="1" ht="12.75">
      <c r="A84" s="41"/>
      <c r="B84" s="358" t="s">
        <v>535</v>
      </c>
      <c r="C84" s="358"/>
      <c r="D84" s="41"/>
      <c r="E84" s="41"/>
      <c r="F84" s="41"/>
      <c r="G84" s="41"/>
      <c r="H84" s="41"/>
    </row>
    <row r="85" spans="1:8" s="42" customFormat="1" ht="12.75">
      <c r="A85" s="41"/>
      <c r="B85" s="63" t="s">
        <v>487</v>
      </c>
      <c r="C85" s="358"/>
      <c r="D85" s="41">
        <f>(1.5+0.7)/2</f>
        <v>1.1</v>
      </c>
      <c r="E85" s="41">
        <v>3.7</v>
      </c>
      <c r="F85" s="41"/>
      <c r="G85" s="41">
        <v>2</v>
      </c>
      <c r="H85" s="41">
        <f>ROUND(G85*E85*D85,2)</f>
        <v>8.14</v>
      </c>
    </row>
    <row r="86" spans="1:8" s="42" customFormat="1" ht="12.75">
      <c r="A86" s="41"/>
      <c r="B86" s="63" t="s">
        <v>488</v>
      </c>
      <c r="C86" s="358"/>
      <c r="D86" s="41">
        <f>0.51/2</f>
        <v>0.255</v>
      </c>
      <c r="E86" s="41">
        <v>2.32</v>
      </c>
      <c r="F86" s="41"/>
      <c r="G86" s="41">
        <v>2</v>
      </c>
      <c r="H86" s="41">
        <f>ROUND(G86*E86*D86,2)</f>
        <v>1.18</v>
      </c>
    </row>
    <row r="87" spans="1:8" s="42" customFormat="1" ht="12.75">
      <c r="A87" s="41"/>
      <c r="B87" s="63" t="s">
        <v>489</v>
      </c>
      <c r="C87" s="358"/>
      <c r="D87" s="41">
        <v>1.51</v>
      </c>
      <c r="E87" s="41"/>
      <c r="F87" s="41">
        <v>0.08</v>
      </c>
      <c r="G87" s="41">
        <v>2</v>
      </c>
      <c r="H87" s="41">
        <f>ROUND(G87*F87*D87,2)</f>
        <v>0.24</v>
      </c>
    </row>
    <row r="88" spans="1:8" s="42" customFormat="1" ht="12.75">
      <c r="A88" s="41"/>
      <c r="B88" s="63"/>
      <c r="C88" s="358"/>
      <c r="D88" s="41">
        <v>0.7</v>
      </c>
      <c r="E88" s="41"/>
      <c r="F88" s="41">
        <v>0.08</v>
      </c>
      <c r="G88" s="41">
        <v>2</v>
      </c>
      <c r="H88" s="41">
        <f>ROUND(G88*F88*D88,2)</f>
        <v>0.11</v>
      </c>
    </row>
    <row r="89" spans="1:8" s="42" customFormat="1" ht="12.75">
      <c r="A89" s="41"/>
      <c r="B89" s="63"/>
      <c r="C89" s="358"/>
      <c r="D89" s="41">
        <v>3.7</v>
      </c>
      <c r="E89" s="41"/>
      <c r="F89" s="41">
        <v>0.08</v>
      </c>
      <c r="G89" s="41">
        <v>2</v>
      </c>
      <c r="H89" s="41">
        <f>ROUND(G89*F89*D89,2)</f>
        <v>0.59</v>
      </c>
    </row>
    <row r="90" spans="1:8" s="42" customFormat="1" ht="12.75">
      <c r="A90" s="41"/>
      <c r="B90" s="63"/>
      <c r="C90" s="358"/>
      <c r="D90" s="41">
        <v>3.81</v>
      </c>
      <c r="E90" s="41"/>
      <c r="F90" s="41">
        <v>0.08</v>
      </c>
      <c r="G90" s="41">
        <v>2</v>
      </c>
      <c r="H90" s="41">
        <f>ROUND(G90*F90*D90,2)</f>
        <v>0.61</v>
      </c>
    </row>
    <row r="91" spans="1:8" s="42" customFormat="1" ht="12.75">
      <c r="A91" s="41"/>
      <c r="B91" s="43"/>
      <c r="C91" s="41"/>
      <c r="D91" s="41"/>
      <c r="E91" s="41"/>
      <c r="F91" s="41"/>
      <c r="G91" s="46" t="s">
        <v>536</v>
      </c>
      <c r="H91" s="46">
        <f>SUM(H85:H90)</f>
        <v>10.87</v>
      </c>
    </row>
    <row r="92" spans="1:8" s="42" customFormat="1" ht="12.75">
      <c r="A92" s="41"/>
      <c r="B92" s="43"/>
      <c r="C92" s="41"/>
      <c r="D92" s="41"/>
      <c r="E92" s="41"/>
      <c r="F92" s="41"/>
      <c r="G92" s="46" t="s">
        <v>15</v>
      </c>
      <c r="H92" s="46">
        <v>1</v>
      </c>
    </row>
    <row r="93" spans="1:8" s="42" customFormat="1" ht="12.75">
      <c r="A93" s="41"/>
      <c r="B93" s="43"/>
      <c r="C93" s="41"/>
      <c r="D93" s="41"/>
      <c r="E93" s="41"/>
      <c r="F93" s="41"/>
      <c r="G93" s="41"/>
      <c r="H93" s="41"/>
    </row>
    <row r="94" spans="1:8" s="42" customFormat="1" ht="12.75">
      <c r="A94" s="7" t="s">
        <v>230</v>
      </c>
      <c r="B94" s="9" t="s">
        <v>372</v>
      </c>
      <c r="C94" s="60"/>
      <c r="D94" s="41"/>
      <c r="E94" s="41"/>
      <c r="F94" s="41"/>
      <c r="G94" s="41"/>
      <c r="H94" s="41"/>
    </row>
    <row r="95" spans="1:8" s="42" customFormat="1" ht="12.75">
      <c r="A95" s="64" t="s">
        <v>231</v>
      </c>
      <c r="B95" s="6" t="s">
        <v>343</v>
      </c>
      <c r="C95" s="5" t="s">
        <v>103</v>
      </c>
      <c r="D95" s="41"/>
      <c r="E95" s="41"/>
      <c r="F95" s="41"/>
      <c r="G95" s="41"/>
      <c r="H95" s="41"/>
    </row>
    <row r="96" spans="1:8" s="42" customFormat="1" ht="12.75">
      <c r="A96" s="62"/>
      <c r="B96" s="63" t="s">
        <v>361</v>
      </c>
      <c r="C96" s="58"/>
      <c r="D96" s="41">
        <f>46.35+0.15+36.6+37.7</f>
        <v>120.8</v>
      </c>
      <c r="E96" s="41"/>
      <c r="F96" s="41"/>
      <c r="G96" s="41"/>
      <c r="H96" s="41">
        <f>D96</f>
        <v>120.8</v>
      </c>
    </row>
    <row r="97" spans="1:8" s="42" customFormat="1" ht="12.75">
      <c r="A97" s="62"/>
      <c r="B97" s="63" t="s">
        <v>362</v>
      </c>
      <c r="C97" s="58"/>
      <c r="D97" s="41">
        <f>2.35+47.55+0.4+10.15+20.2+18.3+1.85</f>
        <v>100.79999999999998</v>
      </c>
      <c r="E97" s="41"/>
      <c r="F97" s="41"/>
      <c r="G97" s="41"/>
      <c r="H97" s="41">
        <f>D97</f>
        <v>100.79999999999998</v>
      </c>
    </row>
    <row r="98" spans="1:8" s="42" customFormat="1" ht="12.75">
      <c r="A98" s="62"/>
      <c r="B98" s="63" t="s">
        <v>363</v>
      </c>
      <c r="C98" s="58"/>
      <c r="D98" s="41">
        <f>22+0.3+37.1+24.65</f>
        <v>84.05000000000001</v>
      </c>
      <c r="E98" s="41"/>
      <c r="F98" s="41"/>
      <c r="G98" s="41"/>
      <c r="H98" s="41">
        <f>D98</f>
        <v>84.05000000000001</v>
      </c>
    </row>
    <row r="99" spans="1:8" s="42" customFormat="1" ht="12.75">
      <c r="A99" s="62"/>
      <c r="B99" s="63"/>
      <c r="C99" s="58"/>
      <c r="D99" s="41"/>
      <c r="E99" s="41"/>
      <c r="F99" s="41"/>
      <c r="G99" s="46" t="s">
        <v>3</v>
      </c>
      <c r="H99" s="46">
        <f>SUM(H96:H98)</f>
        <v>305.65</v>
      </c>
    </row>
    <row r="100" spans="1:8" s="42" customFormat="1" ht="12.75">
      <c r="A100" s="62"/>
      <c r="B100" s="63"/>
      <c r="C100" s="58"/>
      <c r="D100" s="41"/>
      <c r="E100" s="41"/>
      <c r="F100" s="41"/>
      <c r="G100" s="41"/>
      <c r="H100" s="41"/>
    </row>
    <row r="101" spans="1:8" s="42" customFormat="1" ht="38.25">
      <c r="A101" s="64" t="s">
        <v>234</v>
      </c>
      <c r="B101" s="6" t="s">
        <v>349</v>
      </c>
      <c r="C101" s="5" t="s">
        <v>30</v>
      </c>
      <c r="D101" s="41"/>
      <c r="E101" s="41"/>
      <c r="F101" s="41"/>
      <c r="G101" s="41"/>
      <c r="H101" s="41"/>
    </row>
    <row r="102" spans="1:8" s="42" customFormat="1" ht="12.75">
      <c r="A102" s="62"/>
      <c r="B102" s="63" t="s">
        <v>364</v>
      </c>
      <c r="C102" s="45">
        <f>H99</f>
        <v>305.65</v>
      </c>
      <c r="D102" s="41"/>
      <c r="E102" s="41">
        <v>0.3</v>
      </c>
      <c r="F102" s="41">
        <v>0.12</v>
      </c>
      <c r="G102" s="41">
        <v>1.3</v>
      </c>
      <c r="H102" s="41">
        <f>ROUND(G102*F102*E102*C102,2)</f>
        <v>14.3</v>
      </c>
    </row>
    <row r="103" spans="1:8" s="42" customFormat="1" ht="12.75">
      <c r="A103" s="62"/>
      <c r="B103" s="63"/>
      <c r="C103" s="58"/>
      <c r="D103" s="41"/>
      <c r="E103" s="41"/>
      <c r="F103" s="41"/>
      <c r="G103" s="46" t="s">
        <v>3</v>
      </c>
      <c r="H103" s="46">
        <f>SUM(H102:H102)</f>
        <v>14.3</v>
      </c>
    </row>
    <row r="104" spans="1:8" s="42" customFormat="1" ht="12.75">
      <c r="A104" s="62"/>
      <c r="B104" s="63"/>
      <c r="C104" s="58"/>
      <c r="D104" s="41"/>
      <c r="E104" s="41"/>
      <c r="F104" s="41"/>
      <c r="G104" s="41"/>
      <c r="H104" s="41"/>
    </row>
    <row r="105" spans="1:8" s="42" customFormat="1" ht="51">
      <c r="A105" s="64" t="s">
        <v>235</v>
      </c>
      <c r="B105" s="6" t="s">
        <v>365</v>
      </c>
      <c r="C105" s="5" t="s">
        <v>103</v>
      </c>
      <c r="D105" s="41"/>
      <c r="E105" s="41"/>
      <c r="F105" s="41"/>
      <c r="G105" s="41"/>
      <c r="H105" s="41"/>
    </row>
    <row r="106" spans="1:8" s="42" customFormat="1" ht="12.75">
      <c r="A106" s="41"/>
      <c r="B106" s="63" t="s">
        <v>503</v>
      </c>
      <c r="C106" s="58"/>
      <c r="D106" s="41">
        <f>46.35+0.15+36.6+37.7</f>
        <v>120.8</v>
      </c>
      <c r="E106" s="41"/>
      <c r="F106" s="41"/>
      <c r="G106" s="41"/>
      <c r="H106" s="41">
        <f>D106</f>
        <v>120.8</v>
      </c>
    </row>
    <row r="107" spans="1:8" s="42" customFormat="1" ht="12.75">
      <c r="A107" s="41"/>
      <c r="B107" s="63" t="s">
        <v>504</v>
      </c>
      <c r="C107" s="58"/>
      <c r="D107" s="41">
        <f>2.35+47.55+0.4+10.15+20.2+18.3+1.85</f>
        <v>100.79999999999998</v>
      </c>
      <c r="E107" s="41"/>
      <c r="F107" s="41"/>
      <c r="G107" s="41"/>
      <c r="H107" s="41">
        <f>D107</f>
        <v>100.79999999999998</v>
      </c>
    </row>
    <row r="108" spans="1:8" s="42" customFormat="1" ht="12.75">
      <c r="A108" s="41"/>
      <c r="B108" s="63" t="s">
        <v>505</v>
      </c>
      <c r="C108" s="58"/>
      <c r="D108" s="41">
        <f>22+0.3+37.1+24.65</f>
        <v>84.05000000000001</v>
      </c>
      <c r="E108" s="41"/>
      <c r="F108" s="41"/>
      <c r="G108" s="41"/>
      <c r="H108" s="41">
        <f>D108</f>
        <v>84.05000000000001</v>
      </c>
    </row>
    <row r="109" spans="1:8" s="42" customFormat="1" ht="12.75">
      <c r="A109" s="41"/>
      <c r="B109" s="43"/>
      <c r="C109" s="41"/>
      <c r="D109" s="41"/>
      <c r="E109" s="41"/>
      <c r="F109" s="41"/>
      <c r="G109" s="46" t="s">
        <v>3</v>
      </c>
      <c r="H109" s="46">
        <f>SUM(H106:H108)</f>
        <v>305.65</v>
      </c>
    </row>
    <row r="110" spans="1:8" s="42" customFormat="1" ht="12.75">
      <c r="A110" s="7"/>
      <c r="B110" s="9"/>
      <c r="C110" s="60"/>
      <c r="D110" s="41"/>
      <c r="E110" s="41"/>
      <c r="F110" s="41"/>
      <c r="G110" s="41"/>
      <c r="H110" s="41"/>
    </row>
    <row r="111" spans="1:8" s="42" customFormat="1" ht="25.5">
      <c r="A111" s="64" t="s">
        <v>236</v>
      </c>
      <c r="B111" s="6" t="s">
        <v>213</v>
      </c>
      <c r="C111" s="5" t="s">
        <v>29</v>
      </c>
      <c r="D111" s="41"/>
      <c r="E111" s="41"/>
      <c r="F111" s="41"/>
      <c r="G111" s="41"/>
      <c r="H111" s="41"/>
    </row>
    <row r="112" spans="1:8" s="42" customFormat="1" ht="12.75">
      <c r="A112" s="111"/>
      <c r="B112" s="63" t="s">
        <v>330</v>
      </c>
      <c r="C112" s="45"/>
      <c r="D112" s="41"/>
      <c r="E112" s="41"/>
      <c r="F112" s="41"/>
      <c r="G112" s="41"/>
      <c r="H112" s="41">
        <v>373.6</v>
      </c>
    </row>
    <row r="113" spans="1:8" s="42" customFormat="1" ht="12.75">
      <c r="A113" s="111"/>
      <c r="B113" s="63"/>
      <c r="C113" s="45"/>
      <c r="D113" s="41"/>
      <c r="E113" s="41"/>
      <c r="F113" s="41"/>
      <c r="G113" s="46" t="s">
        <v>3</v>
      </c>
      <c r="H113" s="46">
        <f>SUM(H112:H112)</f>
        <v>373.6</v>
      </c>
    </row>
    <row r="114" spans="1:8" s="42" customFormat="1" ht="12.75">
      <c r="A114" s="41"/>
      <c r="B114" s="47"/>
      <c r="C114" s="48"/>
      <c r="D114" s="48"/>
      <c r="E114" s="48"/>
      <c r="F114" s="48"/>
      <c r="G114" s="48"/>
      <c r="H114" s="48"/>
    </row>
    <row r="115" spans="1:8" s="42" customFormat="1" ht="25.5">
      <c r="A115" s="64" t="s">
        <v>237</v>
      </c>
      <c r="B115" s="6" t="s">
        <v>368</v>
      </c>
      <c r="C115" s="5" t="s">
        <v>29</v>
      </c>
      <c r="D115" s="48"/>
      <c r="E115" s="48"/>
      <c r="F115" s="48"/>
      <c r="G115" s="48"/>
      <c r="H115" s="48"/>
    </row>
    <row r="116" spans="1:8" s="42" customFormat="1" ht="12.75">
      <c r="A116" s="41"/>
      <c r="B116" s="63" t="s">
        <v>370</v>
      </c>
      <c r="C116" s="48"/>
      <c r="D116" s="48"/>
      <c r="E116" s="48"/>
      <c r="F116" s="48"/>
      <c r="G116" s="41"/>
      <c r="H116" s="41">
        <v>123.3</v>
      </c>
    </row>
    <row r="117" spans="1:8" s="42" customFormat="1" ht="12.75">
      <c r="A117" s="41"/>
      <c r="B117" s="63" t="s">
        <v>371</v>
      </c>
      <c r="C117" s="48"/>
      <c r="D117" s="48"/>
      <c r="E117" s="48"/>
      <c r="F117" s="48"/>
      <c r="G117" s="41"/>
      <c r="H117" s="41">
        <v>342.6</v>
      </c>
    </row>
    <row r="118" spans="1:8" s="42" customFormat="1" ht="12.75">
      <c r="A118" s="41"/>
      <c r="B118" s="47"/>
      <c r="C118" s="48"/>
      <c r="D118" s="48"/>
      <c r="E118" s="48"/>
      <c r="F118" s="48"/>
      <c r="G118" s="46" t="s">
        <v>3</v>
      </c>
      <c r="H118" s="46">
        <f>SUM(H116:H117)</f>
        <v>465.90000000000003</v>
      </c>
    </row>
    <row r="119" spans="1:8" s="42" customFormat="1" ht="12.75">
      <c r="A119" s="41"/>
      <c r="B119" s="47"/>
      <c r="C119" s="48"/>
      <c r="D119" s="48"/>
      <c r="E119" s="48"/>
      <c r="F119" s="48"/>
      <c r="G119" s="41"/>
      <c r="H119" s="41"/>
    </row>
    <row r="120" spans="1:8" s="42" customFormat="1" ht="25.5">
      <c r="A120" s="64" t="s">
        <v>238</v>
      </c>
      <c r="B120" s="285" t="s">
        <v>250</v>
      </c>
      <c r="C120" s="167" t="s">
        <v>30</v>
      </c>
      <c r="D120" s="48"/>
      <c r="E120" s="48"/>
      <c r="F120" s="48"/>
      <c r="G120" s="41"/>
      <c r="H120" s="41"/>
    </row>
    <row r="121" spans="1:8" s="42" customFormat="1" ht="12.75">
      <c r="A121" s="41"/>
      <c r="B121" s="43" t="s">
        <v>411</v>
      </c>
      <c r="C121" s="41"/>
      <c r="D121" s="41">
        <f>8.4+5.15+2.1+2.1</f>
        <v>17.75</v>
      </c>
      <c r="E121" s="41">
        <v>0.4</v>
      </c>
      <c r="F121" s="41">
        <v>0.3</v>
      </c>
      <c r="G121" s="41">
        <v>1</v>
      </c>
      <c r="H121" s="41">
        <f>ROUND(G121*F121*E121*D121,2)</f>
        <v>2.13</v>
      </c>
    </row>
    <row r="122" spans="1:8" s="42" customFormat="1" ht="12.75">
      <c r="A122" s="41"/>
      <c r="B122" s="43" t="s">
        <v>412</v>
      </c>
      <c r="C122" s="41"/>
      <c r="D122" s="41">
        <f>8+4.7+2.1+2.1</f>
        <v>16.9</v>
      </c>
      <c r="E122" s="41">
        <v>0.4</v>
      </c>
      <c r="F122" s="41">
        <v>0.3</v>
      </c>
      <c r="G122" s="41">
        <v>1</v>
      </c>
      <c r="H122" s="41">
        <f>ROUND(G122*F122*E122*D122,2)</f>
        <v>2.03</v>
      </c>
    </row>
    <row r="123" spans="1:8" s="42" customFormat="1" ht="12.75">
      <c r="A123" s="41"/>
      <c r="B123" s="43" t="s">
        <v>413</v>
      </c>
      <c r="C123" s="41"/>
      <c r="D123" s="41">
        <v>0.5</v>
      </c>
      <c r="E123" s="41">
        <v>0.5</v>
      </c>
      <c r="F123" s="41">
        <v>0.5</v>
      </c>
      <c r="G123" s="41">
        <v>6</v>
      </c>
      <c r="H123" s="41">
        <f>ROUND(G123*F123*E123*D123,2)</f>
        <v>0.75</v>
      </c>
    </row>
    <row r="124" spans="1:8" s="42" customFormat="1" ht="12.75">
      <c r="A124" s="41"/>
      <c r="B124" s="43" t="s">
        <v>446</v>
      </c>
      <c r="C124" s="41"/>
      <c r="D124" s="41">
        <v>15</v>
      </c>
      <c r="E124" s="41">
        <v>0.25</v>
      </c>
      <c r="F124" s="41">
        <v>0.7</v>
      </c>
      <c r="G124" s="41">
        <v>1</v>
      </c>
      <c r="H124" s="41">
        <f>ROUND(G124*F124*E124*D124,2)</f>
        <v>2.63</v>
      </c>
    </row>
    <row r="125" spans="1:8" s="42" customFormat="1" ht="12.75">
      <c r="A125" s="41"/>
      <c r="B125" s="43"/>
      <c r="C125" s="41"/>
      <c r="D125" s="41"/>
      <c r="E125" s="41"/>
      <c r="F125" s="41"/>
      <c r="G125" s="46" t="s">
        <v>3</v>
      </c>
      <c r="H125" s="46">
        <f>SUM(H121:H124)</f>
        <v>7.54</v>
      </c>
    </row>
    <row r="126" spans="1:8" s="42" customFormat="1" ht="12.75">
      <c r="A126" s="41"/>
      <c r="B126" s="43"/>
      <c r="C126" s="41"/>
      <c r="D126" s="41"/>
      <c r="E126" s="41"/>
      <c r="F126" s="41"/>
      <c r="G126" s="41"/>
      <c r="H126" s="41"/>
    </row>
    <row r="127" spans="1:8" s="42" customFormat="1" ht="25.5">
      <c r="A127" s="64" t="s">
        <v>239</v>
      </c>
      <c r="B127" s="6" t="s">
        <v>126</v>
      </c>
      <c r="C127" s="5" t="s">
        <v>29</v>
      </c>
      <c r="D127" s="41"/>
      <c r="E127" s="41"/>
      <c r="F127" s="41"/>
      <c r="G127" s="41"/>
      <c r="H127" s="41"/>
    </row>
    <row r="128" spans="1:8" s="42" customFormat="1" ht="12.75">
      <c r="A128" s="41"/>
      <c r="B128" s="43" t="s">
        <v>411</v>
      </c>
      <c r="C128" s="41"/>
      <c r="D128" s="41">
        <f>8.4+5.15+2.1+2.1</f>
        <v>17.75</v>
      </c>
      <c r="E128" s="41"/>
      <c r="F128" s="41">
        <v>0.3</v>
      </c>
      <c r="G128" s="41">
        <v>1</v>
      </c>
      <c r="H128" s="41">
        <f>ROUND(G128*F128*D128,2)</f>
        <v>5.33</v>
      </c>
    </row>
    <row r="129" spans="1:8" s="42" customFormat="1" ht="12.75">
      <c r="A129" s="41"/>
      <c r="B129" s="43" t="s">
        <v>412</v>
      </c>
      <c r="C129" s="41"/>
      <c r="D129" s="41">
        <f>8+4.7+2.1+2.1</f>
        <v>16.9</v>
      </c>
      <c r="E129" s="41"/>
      <c r="F129" s="41">
        <v>0.3</v>
      </c>
      <c r="G129" s="41">
        <v>1</v>
      </c>
      <c r="H129" s="41">
        <f>ROUND(G129*F129*D129,2)</f>
        <v>5.07</v>
      </c>
    </row>
    <row r="130" spans="1:8" s="42" customFormat="1" ht="12.75">
      <c r="A130" s="41"/>
      <c r="B130" s="43" t="s">
        <v>413</v>
      </c>
      <c r="C130" s="41"/>
      <c r="D130" s="41">
        <v>0.5</v>
      </c>
      <c r="E130" s="41"/>
      <c r="F130" s="41">
        <v>0.5</v>
      </c>
      <c r="G130" s="41">
        <v>6</v>
      </c>
      <c r="H130" s="41">
        <f>ROUND(G130*F130*D130,2)</f>
        <v>1.5</v>
      </c>
    </row>
    <row r="131" spans="1:8" s="42" customFormat="1" ht="12.75">
      <c r="A131" s="41"/>
      <c r="B131" s="43" t="s">
        <v>446</v>
      </c>
      <c r="C131" s="41"/>
      <c r="D131" s="41">
        <v>14.5</v>
      </c>
      <c r="E131" s="41"/>
      <c r="F131" s="41">
        <v>0.4</v>
      </c>
      <c r="G131" s="41">
        <v>1</v>
      </c>
      <c r="H131" s="41">
        <f>ROUND(G131*F131*D131,2)</f>
        <v>5.8</v>
      </c>
    </row>
    <row r="132" spans="1:8" s="42" customFormat="1" ht="12.75">
      <c r="A132" s="41"/>
      <c r="B132" s="43"/>
      <c r="C132" s="41"/>
      <c r="D132" s="41"/>
      <c r="E132" s="41"/>
      <c r="F132" s="41"/>
      <c r="G132" s="46" t="s">
        <v>3</v>
      </c>
      <c r="H132" s="46">
        <f>SUM(H128:H131)</f>
        <v>17.7</v>
      </c>
    </row>
    <row r="133" spans="1:8" s="42" customFormat="1" ht="12.75">
      <c r="A133" s="41"/>
      <c r="B133" s="43"/>
      <c r="C133" s="41"/>
      <c r="D133" s="41"/>
      <c r="E133" s="41"/>
      <c r="F133" s="41"/>
      <c r="G133" s="41"/>
      <c r="H133" s="41"/>
    </row>
    <row r="134" spans="1:8" s="42" customFormat="1" ht="38.25">
      <c r="A134" s="64" t="s">
        <v>240</v>
      </c>
      <c r="B134" s="6" t="s">
        <v>251</v>
      </c>
      <c r="C134" s="5" t="s">
        <v>30</v>
      </c>
      <c r="D134" s="41"/>
      <c r="E134" s="41"/>
      <c r="F134" s="41"/>
      <c r="G134" s="41"/>
      <c r="H134" s="41"/>
    </row>
    <row r="135" spans="1:8" s="42" customFormat="1" ht="12.75">
      <c r="A135" s="41"/>
      <c r="B135" s="43" t="s">
        <v>414</v>
      </c>
      <c r="C135" s="41"/>
      <c r="D135" s="41">
        <v>0.5</v>
      </c>
      <c r="E135" s="41">
        <v>0.1</v>
      </c>
      <c r="F135" s="41">
        <v>0.5</v>
      </c>
      <c r="G135" s="41">
        <v>6</v>
      </c>
      <c r="H135" s="41">
        <f>ROUND(G135*F135*E135*D135,2)</f>
        <v>0.15</v>
      </c>
    </row>
    <row r="136" spans="1:8" s="42" customFormat="1" ht="12.75">
      <c r="A136" s="41"/>
      <c r="B136" s="43" t="s">
        <v>413</v>
      </c>
      <c r="C136" s="41"/>
      <c r="D136" s="41">
        <v>0.4</v>
      </c>
      <c r="E136" s="41">
        <v>0.7</v>
      </c>
      <c r="F136" s="41">
        <v>0.2</v>
      </c>
      <c r="G136" s="41">
        <v>6</v>
      </c>
      <c r="H136" s="41">
        <f>ROUND(G136*F136*E136*D136,2)</f>
        <v>0.34</v>
      </c>
    </row>
    <row r="137" spans="1:8" s="42" customFormat="1" ht="12.75">
      <c r="A137" s="41"/>
      <c r="B137" s="43" t="s">
        <v>415</v>
      </c>
      <c r="C137" s="41"/>
      <c r="D137" s="41">
        <f>(5.2+4.45)/2</f>
        <v>4.825</v>
      </c>
      <c r="E137" s="41">
        <v>0.1</v>
      </c>
      <c r="F137" s="41">
        <v>0.45</v>
      </c>
      <c r="G137" s="41">
        <v>1</v>
      </c>
      <c r="H137" s="41">
        <f>ROUND(G137*F137*E137*D137,2)</f>
        <v>0.22</v>
      </c>
    </row>
    <row r="138" spans="1:8" s="42" customFormat="1" ht="12.75">
      <c r="A138" s="41"/>
      <c r="B138" s="43"/>
      <c r="C138" s="41"/>
      <c r="D138" s="41">
        <f>(4.75+4.1)/2</f>
        <v>4.425</v>
      </c>
      <c r="E138" s="41">
        <v>0.1</v>
      </c>
      <c r="F138" s="41">
        <v>0.45</v>
      </c>
      <c r="G138" s="41">
        <v>1</v>
      </c>
      <c r="H138" s="41">
        <f>ROUND(G138*F138*E138*D138,2)</f>
        <v>0.2</v>
      </c>
    </row>
    <row r="139" spans="1:8" s="42" customFormat="1" ht="12.75">
      <c r="A139" s="41"/>
      <c r="B139" s="43"/>
      <c r="C139" s="41"/>
      <c r="D139" s="41"/>
      <c r="E139" s="41"/>
      <c r="F139" s="41"/>
      <c r="G139" s="46" t="s">
        <v>3</v>
      </c>
      <c r="H139" s="46">
        <f>SUM(H135:H138)</f>
        <v>0.9099999999999999</v>
      </c>
    </row>
    <row r="140" spans="1:8" s="42" customFormat="1" ht="12.75">
      <c r="A140" s="41"/>
      <c r="B140" s="43"/>
      <c r="C140" s="41"/>
      <c r="D140" s="41"/>
      <c r="E140" s="41"/>
      <c r="F140" s="41"/>
      <c r="G140" s="41"/>
      <c r="H140" s="41"/>
    </row>
    <row r="141" spans="1:8" s="42" customFormat="1" ht="25.5">
      <c r="A141" s="64" t="s">
        <v>241</v>
      </c>
      <c r="B141" s="6" t="s">
        <v>450</v>
      </c>
      <c r="C141" s="5" t="s">
        <v>29</v>
      </c>
      <c r="D141" s="41"/>
      <c r="E141" s="41"/>
      <c r="F141" s="41"/>
      <c r="G141" s="41"/>
      <c r="H141" s="41"/>
    </row>
    <row r="142" spans="1:8" s="42" customFormat="1" ht="12.75">
      <c r="A142" s="41"/>
      <c r="B142" s="43" t="s">
        <v>456</v>
      </c>
      <c r="C142" s="41"/>
      <c r="D142" s="41">
        <f>14.5+14.5+0.4+0.4</f>
        <v>29.799999999999997</v>
      </c>
      <c r="E142" s="41">
        <v>0.2</v>
      </c>
      <c r="F142" s="41"/>
      <c r="G142" s="41">
        <v>1</v>
      </c>
      <c r="H142" s="41">
        <f>ROUND(G142*E142*D142,2)</f>
        <v>5.96</v>
      </c>
    </row>
    <row r="143" spans="1:8" s="42" customFormat="1" ht="12.75">
      <c r="A143" s="41"/>
      <c r="B143" s="43"/>
      <c r="C143" s="41"/>
      <c r="D143" s="41"/>
      <c r="E143" s="41"/>
      <c r="F143" s="41"/>
      <c r="G143" s="46" t="s">
        <v>3</v>
      </c>
      <c r="H143" s="46">
        <f>H142</f>
        <v>5.96</v>
      </c>
    </row>
    <row r="144" spans="1:8" s="42" customFormat="1" ht="12.75">
      <c r="A144" s="41"/>
      <c r="B144" s="43"/>
      <c r="C144" s="41"/>
      <c r="D144" s="41"/>
      <c r="E144" s="41"/>
      <c r="F144" s="41"/>
      <c r="G144" s="41"/>
      <c r="H144" s="41"/>
    </row>
    <row r="145" spans="1:8" s="42" customFormat="1" ht="25.5">
      <c r="A145" s="64" t="s">
        <v>242</v>
      </c>
      <c r="B145" s="6" t="s">
        <v>454</v>
      </c>
      <c r="C145" s="5" t="s">
        <v>106</v>
      </c>
      <c r="D145" s="41"/>
      <c r="E145" s="41"/>
      <c r="F145" s="41"/>
      <c r="G145" s="41"/>
      <c r="H145" s="41"/>
    </row>
    <row r="146" spans="1:8" s="42" customFormat="1" ht="12.75">
      <c r="A146" s="41"/>
      <c r="B146" s="43" t="s">
        <v>144</v>
      </c>
      <c r="C146" s="41"/>
      <c r="D146" s="41"/>
      <c r="E146" s="41"/>
      <c r="F146" s="41"/>
      <c r="G146" s="41"/>
      <c r="H146" s="41">
        <v>51</v>
      </c>
    </row>
    <row r="147" spans="1:8" s="42" customFormat="1" ht="12.75">
      <c r="A147" s="41"/>
      <c r="B147" s="43"/>
      <c r="C147" s="41"/>
      <c r="D147" s="41"/>
      <c r="E147" s="41"/>
      <c r="F147" s="41"/>
      <c r="G147" s="46" t="s">
        <v>3</v>
      </c>
      <c r="H147" s="46">
        <f>SUM(H146:H146)</f>
        <v>51</v>
      </c>
    </row>
    <row r="148" spans="1:8" s="42" customFormat="1" ht="12.75">
      <c r="A148" s="41"/>
      <c r="B148" s="43"/>
      <c r="C148" s="41"/>
      <c r="D148" s="41"/>
      <c r="E148" s="41"/>
      <c r="F148" s="41"/>
      <c r="G148" s="41"/>
      <c r="H148" s="41"/>
    </row>
    <row r="149" spans="1:8" s="42" customFormat="1" ht="25.5">
      <c r="A149" s="64" t="s">
        <v>252</v>
      </c>
      <c r="B149" s="6" t="s">
        <v>135</v>
      </c>
      <c r="C149" s="5" t="s">
        <v>30</v>
      </c>
      <c r="D149" s="41"/>
      <c r="E149" s="41"/>
      <c r="F149" s="41"/>
      <c r="G149" s="41"/>
      <c r="H149" s="41"/>
    </row>
    <row r="150" spans="1:8" s="42" customFormat="1" ht="12.75">
      <c r="A150" s="41"/>
      <c r="B150" s="43" t="s">
        <v>457</v>
      </c>
      <c r="C150" s="41"/>
      <c r="D150" s="41">
        <v>14.5</v>
      </c>
      <c r="E150" s="41">
        <v>0.2</v>
      </c>
      <c r="F150" s="41">
        <v>0.4</v>
      </c>
      <c r="G150" s="41">
        <v>1</v>
      </c>
      <c r="H150" s="41">
        <f>ROUND(G150*F150*E150*D150,2)</f>
        <v>1.16</v>
      </c>
    </row>
    <row r="151" spans="1:8" s="42" customFormat="1" ht="12.75">
      <c r="A151" s="41"/>
      <c r="B151" s="43" t="s">
        <v>456</v>
      </c>
      <c r="C151" s="41"/>
      <c r="D151" s="41">
        <v>14.2</v>
      </c>
      <c r="E151" s="41">
        <v>0.3</v>
      </c>
      <c r="F151" s="41">
        <v>0.4</v>
      </c>
      <c r="G151" s="41">
        <v>1</v>
      </c>
      <c r="H151" s="41">
        <f>ROUND(G151*F151*E151*D151,2)</f>
        <v>1.7</v>
      </c>
    </row>
    <row r="152" spans="1:8" s="42" customFormat="1" ht="12.75">
      <c r="A152" s="41"/>
      <c r="B152" s="43"/>
      <c r="C152" s="41"/>
      <c r="D152" s="41"/>
      <c r="E152" s="41"/>
      <c r="F152" s="41"/>
      <c r="G152" s="46" t="s">
        <v>3</v>
      </c>
      <c r="H152" s="46">
        <f>SUM(H150:H151)</f>
        <v>2.86</v>
      </c>
    </row>
    <row r="153" spans="1:8" s="42" customFormat="1" ht="12.75">
      <c r="A153" s="41"/>
      <c r="B153" s="43"/>
      <c r="C153" s="41"/>
      <c r="D153" s="41"/>
      <c r="E153" s="41"/>
      <c r="F153" s="41"/>
      <c r="G153" s="41"/>
      <c r="H153" s="41"/>
    </row>
    <row r="154" spans="1:8" s="42" customFormat="1" ht="25.5">
      <c r="A154" s="64" t="s">
        <v>253</v>
      </c>
      <c r="B154" s="6" t="s">
        <v>136</v>
      </c>
      <c r="C154" s="5" t="s">
        <v>30</v>
      </c>
      <c r="D154" s="41"/>
      <c r="E154" s="41"/>
      <c r="F154" s="41"/>
      <c r="G154" s="41"/>
      <c r="H154" s="41"/>
    </row>
    <row r="155" spans="1:8" s="42" customFormat="1" ht="12.75">
      <c r="A155" s="41"/>
      <c r="B155" s="43" t="s">
        <v>457</v>
      </c>
      <c r="C155" s="41"/>
      <c r="D155" s="41">
        <v>14.5</v>
      </c>
      <c r="E155" s="41">
        <v>0.2</v>
      </c>
      <c r="F155" s="41">
        <v>0.4</v>
      </c>
      <c r="G155" s="41">
        <v>1</v>
      </c>
      <c r="H155" s="41">
        <f>ROUND(G155*F155*E155*D155,2)</f>
        <v>1.16</v>
      </c>
    </row>
    <row r="156" spans="1:8" s="42" customFormat="1" ht="12.75">
      <c r="A156" s="41"/>
      <c r="B156" s="43" t="s">
        <v>456</v>
      </c>
      <c r="C156" s="41"/>
      <c r="D156" s="41">
        <v>14.2</v>
      </c>
      <c r="E156" s="41">
        <v>0.3</v>
      </c>
      <c r="F156" s="41">
        <v>0.4</v>
      </c>
      <c r="G156" s="41">
        <v>1</v>
      </c>
      <c r="H156" s="41">
        <f>ROUND(G156*F156*E156*D156,2)</f>
        <v>1.7</v>
      </c>
    </row>
    <row r="157" spans="1:8" s="42" customFormat="1" ht="12.75">
      <c r="A157" s="41"/>
      <c r="B157" s="43"/>
      <c r="C157" s="41"/>
      <c r="D157" s="41"/>
      <c r="E157" s="41"/>
      <c r="F157" s="41"/>
      <c r="G157" s="46" t="s">
        <v>3</v>
      </c>
      <c r="H157" s="46">
        <f>SUM(H155:H156)</f>
        <v>2.86</v>
      </c>
    </row>
    <row r="158" spans="1:8" s="42" customFormat="1" ht="12.75">
      <c r="A158" s="41"/>
      <c r="B158" s="43"/>
      <c r="C158" s="41"/>
      <c r="D158" s="41"/>
      <c r="E158" s="41"/>
      <c r="F158" s="41"/>
      <c r="G158" s="41"/>
      <c r="H158" s="41"/>
    </row>
    <row r="159" spans="1:8" s="42" customFormat="1" ht="38.25">
      <c r="A159" s="64" t="s">
        <v>254</v>
      </c>
      <c r="B159" s="6" t="s">
        <v>303</v>
      </c>
      <c r="C159" s="167" t="s">
        <v>29</v>
      </c>
      <c r="D159" s="41"/>
      <c r="E159" s="41"/>
      <c r="F159" s="41"/>
      <c r="G159" s="41"/>
      <c r="H159" s="41"/>
    </row>
    <row r="160" spans="1:8" s="42" customFormat="1" ht="12.75">
      <c r="A160" s="41"/>
      <c r="B160" s="43" t="s">
        <v>418</v>
      </c>
      <c r="C160" s="41"/>
      <c r="D160" s="41">
        <f>8.4+5.15+1.7+1.7</f>
        <v>16.95</v>
      </c>
      <c r="E160" s="41">
        <v>0.4</v>
      </c>
      <c r="F160" s="41"/>
      <c r="G160" s="41">
        <v>1</v>
      </c>
      <c r="H160" s="41">
        <f>ROUND(G160*E160*D160,2)</f>
        <v>6.78</v>
      </c>
    </row>
    <row r="161" spans="1:8" s="42" customFormat="1" ht="12.75">
      <c r="A161" s="41"/>
      <c r="B161" s="43" t="s">
        <v>419</v>
      </c>
      <c r="C161" s="41"/>
      <c r="D161" s="41">
        <f>8+4.7+1.7+1.7</f>
        <v>16.099999999999998</v>
      </c>
      <c r="E161" s="41">
        <v>0.4</v>
      </c>
      <c r="F161" s="41"/>
      <c r="G161" s="41">
        <v>1</v>
      </c>
      <c r="H161" s="41">
        <f>ROUND(G161*E161*D161,2)</f>
        <v>6.44</v>
      </c>
    </row>
    <row r="162" spans="1:8" s="42" customFormat="1" ht="12.75">
      <c r="A162" s="41"/>
      <c r="B162" s="43"/>
      <c r="C162" s="41"/>
      <c r="D162" s="41"/>
      <c r="E162" s="41"/>
      <c r="F162" s="41"/>
      <c r="G162" s="46" t="s">
        <v>3</v>
      </c>
      <c r="H162" s="46">
        <f>SUM(H160:H161)</f>
        <v>13.22</v>
      </c>
    </row>
    <row r="163" spans="1:8" s="42" customFormat="1" ht="12.75">
      <c r="A163" s="41"/>
      <c r="B163" s="43"/>
      <c r="C163" s="41"/>
      <c r="D163" s="41"/>
      <c r="E163" s="41"/>
      <c r="F163" s="41"/>
      <c r="G163" s="41"/>
      <c r="H163" s="41"/>
    </row>
    <row r="164" spans="1:8" s="42" customFormat="1" ht="38.25">
      <c r="A164" s="64" t="s">
        <v>292</v>
      </c>
      <c r="B164" s="6" t="s">
        <v>127</v>
      </c>
      <c r="C164" s="5" t="s">
        <v>29</v>
      </c>
      <c r="D164" s="41"/>
      <c r="E164" s="41"/>
      <c r="F164" s="41"/>
      <c r="G164" s="41"/>
      <c r="H164" s="41"/>
    </row>
    <row r="165" spans="1:8" s="42" customFormat="1" ht="12.75">
      <c r="A165" s="41"/>
      <c r="B165" s="43" t="s">
        <v>420</v>
      </c>
      <c r="C165" s="41"/>
      <c r="D165" s="41">
        <f>8.4+5.15+1.9+1.9</f>
        <v>17.35</v>
      </c>
      <c r="E165" s="41">
        <v>0.55</v>
      </c>
      <c r="F165" s="41"/>
      <c r="G165" s="41">
        <v>1</v>
      </c>
      <c r="H165" s="41">
        <f>ROUND(G165*E165*D165,2)</f>
        <v>9.54</v>
      </c>
    </row>
    <row r="166" spans="1:8" s="42" customFormat="1" ht="12.75">
      <c r="A166" s="41"/>
      <c r="B166" s="43" t="s">
        <v>421</v>
      </c>
      <c r="C166" s="41"/>
      <c r="D166" s="41">
        <f>8+4.7+1.9+1.9</f>
        <v>16.5</v>
      </c>
      <c r="E166" s="41">
        <v>0.55</v>
      </c>
      <c r="F166" s="41"/>
      <c r="G166" s="41">
        <v>1</v>
      </c>
      <c r="H166" s="41">
        <f>ROUND(G166*E166*D166,2)</f>
        <v>9.08</v>
      </c>
    </row>
    <row r="167" spans="1:8" s="42" customFormat="1" ht="12.75">
      <c r="A167" s="41"/>
      <c r="B167" s="43"/>
      <c r="C167" s="41"/>
      <c r="D167" s="41"/>
      <c r="E167" s="41"/>
      <c r="F167" s="41"/>
      <c r="G167" s="46" t="s">
        <v>3</v>
      </c>
      <c r="H167" s="46">
        <f>SUM(H165:H166)</f>
        <v>18.619999999999997</v>
      </c>
    </row>
    <row r="168" spans="1:8" s="42" customFormat="1" ht="12.75">
      <c r="A168" s="41"/>
      <c r="B168" s="47"/>
      <c r="C168" s="48"/>
      <c r="D168" s="48"/>
      <c r="E168" s="48"/>
      <c r="F168" s="48"/>
      <c r="G168" s="41"/>
      <c r="H168" s="41"/>
    </row>
    <row r="169" spans="1:8" s="42" customFormat="1" ht="38.25">
      <c r="A169" s="64" t="s">
        <v>347</v>
      </c>
      <c r="B169" s="265" t="s">
        <v>104</v>
      </c>
      <c r="C169" s="155" t="s">
        <v>29</v>
      </c>
      <c r="D169" s="48"/>
      <c r="E169" s="48"/>
      <c r="F169" s="48"/>
      <c r="G169" s="41"/>
      <c r="H169" s="41"/>
    </row>
    <row r="170" spans="1:8" s="42" customFormat="1" ht="12.75">
      <c r="A170" s="41"/>
      <c r="B170" s="43" t="s">
        <v>420</v>
      </c>
      <c r="C170" s="41"/>
      <c r="D170" s="41">
        <f>8.4+5.15+1.9+1.9</f>
        <v>17.35</v>
      </c>
      <c r="E170" s="41">
        <v>0.55</v>
      </c>
      <c r="F170" s="41"/>
      <c r="G170" s="41">
        <v>2</v>
      </c>
      <c r="H170" s="41">
        <f>ROUND(G170*E170*D170,2)</f>
        <v>19.09</v>
      </c>
    </row>
    <row r="171" spans="1:8" s="42" customFormat="1" ht="12.75">
      <c r="A171" s="41"/>
      <c r="B171" s="43" t="s">
        <v>421</v>
      </c>
      <c r="C171" s="41"/>
      <c r="D171" s="41">
        <f>8+4.7+1.9+1.9</f>
        <v>16.5</v>
      </c>
      <c r="E171" s="41">
        <v>0.55</v>
      </c>
      <c r="F171" s="41"/>
      <c r="G171" s="41">
        <v>2</v>
      </c>
      <c r="H171" s="41">
        <f aca="true" t="shared" si="0" ref="H171:H179">ROUND(G171*E171*D171,2)</f>
        <v>18.15</v>
      </c>
    </row>
    <row r="172" spans="1:8" s="42" customFormat="1" ht="12.75">
      <c r="A172" s="41"/>
      <c r="B172" s="43" t="s">
        <v>326</v>
      </c>
      <c r="C172" s="41"/>
      <c r="D172" s="41">
        <v>0.4</v>
      </c>
      <c r="E172" s="41">
        <v>0.35</v>
      </c>
      <c r="F172" s="41"/>
      <c r="G172" s="41">
        <v>12</v>
      </c>
      <c r="H172" s="41">
        <f t="shared" si="0"/>
        <v>1.68</v>
      </c>
    </row>
    <row r="173" spans="1:8" s="42" customFormat="1" ht="12.75">
      <c r="A173" s="41"/>
      <c r="B173" s="43"/>
      <c r="C173" s="41"/>
      <c r="D173" s="41">
        <v>0.2</v>
      </c>
      <c r="E173" s="41">
        <v>0.35</v>
      </c>
      <c r="F173" s="41"/>
      <c r="G173" s="41">
        <v>6</v>
      </c>
      <c r="H173" s="41">
        <f t="shared" si="0"/>
        <v>0.42</v>
      </c>
    </row>
    <row r="174" spans="1:8" s="42" customFormat="1" ht="12.75">
      <c r="A174" s="41"/>
      <c r="B174" s="43" t="s">
        <v>423</v>
      </c>
      <c r="C174" s="41"/>
      <c r="D174" s="41">
        <v>4.45</v>
      </c>
      <c r="E174" s="41">
        <v>0.1</v>
      </c>
      <c r="F174" s="41"/>
      <c r="G174" s="41">
        <v>1</v>
      </c>
      <c r="H174" s="41">
        <f t="shared" si="0"/>
        <v>0.45</v>
      </c>
    </row>
    <row r="175" spans="1:8" s="42" customFormat="1" ht="12.75">
      <c r="A175" s="41"/>
      <c r="B175" s="43"/>
      <c r="C175" s="41"/>
      <c r="D175" s="41">
        <v>0.45</v>
      </c>
      <c r="E175" s="41">
        <v>0.1</v>
      </c>
      <c r="F175" s="41"/>
      <c r="G175" s="41">
        <v>2</v>
      </c>
      <c r="H175" s="41">
        <f t="shared" si="0"/>
        <v>0.09</v>
      </c>
    </row>
    <row r="176" spans="1:8" s="42" customFormat="1" ht="12.75">
      <c r="A176" s="41"/>
      <c r="B176" s="43"/>
      <c r="C176" s="41"/>
      <c r="D176" s="41">
        <v>4.05</v>
      </c>
      <c r="E176" s="41">
        <v>0.1</v>
      </c>
      <c r="F176" s="41"/>
      <c r="G176" s="41">
        <v>1</v>
      </c>
      <c r="H176" s="41">
        <f t="shared" si="0"/>
        <v>0.41</v>
      </c>
    </row>
    <row r="177" spans="1:8" s="42" customFormat="1" ht="12.75">
      <c r="A177" s="41"/>
      <c r="B177" s="43"/>
      <c r="C177" s="41"/>
      <c r="D177" s="41">
        <v>0.45</v>
      </c>
      <c r="E177" s="41">
        <v>0.1</v>
      </c>
      <c r="F177" s="41"/>
      <c r="G177" s="41">
        <v>2</v>
      </c>
      <c r="H177" s="41">
        <f t="shared" si="0"/>
        <v>0.09</v>
      </c>
    </row>
    <row r="178" spans="1:8" s="42" customFormat="1" ht="12.75">
      <c r="A178" s="41"/>
      <c r="B178" s="43" t="s">
        <v>431</v>
      </c>
      <c r="C178" s="41"/>
      <c r="D178" s="41">
        <v>14.2</v>
      </c>
      <c r="E178" s="41">
        <v>0.3</v>
      </c>
      <c r="F178" s="41"/>
      <c r="G178" s="41">
        <v>2</v>
      </c>
      <c r="H178" s="41">
        <f t="shared" si="0"/>
        <v>8.52</v>
      </c>
    </row>
    <row r="179" spans="1:8" s="42" customFormat="1" ht="12.75">
      <c r="A179" s="41"/>
      <c r="B179" s="43"/>
      <c r="C179" s="41"/>
      <c r="D179" s="41">
        <v>0.4</v>
      </c>
      <c r="E179" s="41">
        <v>0.3</v>
      </c>
      <c r="F179" s="41"/>
      <c r="G179" s="41">
        <v>2</v>
      </c>
      <c r="H179" s="41">
        <f t="shared" si="0"/>
        <v>0.24</v>
      </c>
    </row>
    <row r="180" spans="1:8" s="42" customFormat="1" ht="12.75">
      <c r="A180" s="41"/>
      <c r="B180" s="43"/>
      <c r="C180" s="41"/>
      <c r="D180" s="41"/>
      <c r="E180" s="41"/>
      <c r="F180" s="41"/>
      <c r="G180" s="46" t="s">
        <v>3</v>
      </c>
      <c r="H180" s="46">
        <f>SUM(H170:H179)</f>
        <v>49.14000000000001</v>
      </c>
    </row>
    <row r="181" spans="1:8" s="42" customFormat="1" ht="12.75">
      <c r="A181" s="41"/>
      <c r="B181" s="47"/>
      <c r="C181" s="48"/>
      <c r="D181" s="48"/>
      <c r="E181" s="48"/>
      <c r="F181" s="48"/>
      <c r="G181" s="41"/>
      <c r="H181" s="41"/>
    </row>
    <row r="182" spans="1:8" s="42" customFormat="1" ht="51">
      <c r="A182" s="64" t="s">
        <v>348</v>
      </c>
      <c r="B182" s="265" t="s">
        <v>307</v>
      </c>
      <c r="C182" s="155" t="s">
        <v>29</v>
      </c>
      <c r="D182" s="48"/>
      <c r="E182" s="48"/>
      <c r="F182" s="48"/>
      <c r="G182" s="41"/>
      <c r="H182" s="41"/>
    </row>
    <row r="183" spans="1:8" s="42" customFormat="1" ht="12.75">
      <c r="A183" s="41"/>
      <c r="B183" s="43" t="s">
        <v>420</v>
      </c>
      <c r="C183" s="41"/>
      <c r="D183" s="41">
        <f>8.4+5.15+1.9+1.9</f>
        <v>17.35</v>
      </c>
      <c r="E183" s="41">
        <v>0.55</v>
      </c>
      <c r="F183" s="41"/>
      <c r="G183" s="41">
        <v>2</v>
      </c>
      <c r="H183" s="41">
        <f aca="true" t="shared" si="1" ref="H183:H188">ROUND(G183*E183*D183,2)</f>
        <v>19.09</v>
      </c>
    </row>
    <row r="184" spans="1:8" s="42" customFormat="1" ht="12.75">
      <c r="A184" s="41"/>
      <c r="B184" s="43" t="s">
        <v>421</v>
      </c>
      <c r="C184" s="41"/>
      <c r="D184" s="41">
        <f>8+4.7+1.9+1.9</f>
        <v>16.5</v>
      </c>
      <c r="E184" s="41">
        <v>0.55</v>
      </c>
      <c r="F184" s="41"/>
      <c r="G184" s="41">
        <v>2</v>
      </c>
      <c r="H184" s="41">
        <f t="shared" si="1"/>
        <v>18.15</v>
      </c>
    </row>
    <row r="185" spans="1:8" s="42" customFormat="1" ht="12.75">
      <c r="A185" s="41"/>
      <c r="B185" s="47" t="s">
        <v>422</v>
      </c>
      <c r="C185" s="48"/>
      <c r="D185" s="48">
        <v>4.45</v>
      </c>
      <c r="E185" s="48">
        <v>0.1</v>
      </c>
      <c r="F185" s="48"/>
      <c r="G185" s="48">
        <v>-1</v>
      </c>
      <c r="H185" s="48">
        <f t="shared" si="1"/>
        <v>-0.45</v>
      </c>
    </row>
    <row r="186" spans="1:8" s="42" customFormat="1" ht="12.75">
      <c r="A186" s="41"/>
      <c r="B186" s="47"/>
      <c r="C186" s="48"/>
      <c r="D186" s="48">
        <v>4.05</v>
      </c>
      <c r="E186" s="48">
        <v>0.1</v>
      </c>
      <c r="F186" s="48"/>
      <c r="G186" s="48">
        <v>-1</v>
      </c>
      <c r="H186" s="48">
        <f t="shared" si="1"/>
        <v>-0.41</v>
      </c>
    </row>
    <row r="187" spans="1:8" s="42" customFormat="1" ht="12.75">
      <c r="A187" s="41"/>
      <c r="B187" s="43" t="s">
        <v>431</v>
      </c>
      <c r="C187" s="41"/>
      <c r="D187" s="41">
        <v>14.2</v>
      </c>
      <c r="E187" s="41">
        <v>0.3</v>
      </c>
      <c r="F187" s="41"/>
      <c r="G187" s="41">
        <v>2</v>
      </c>
      <c r="H187" s="41">
        <f t="shared" si="1"/>
        <v>8.52</v>
      </c>
    </row>
    <row r="188" spans="1:8" s="42" customFormat="1" ht="12.75">
      <c r="A188" s="41"/>
      <c r="B188" s="43"/>
      <c r="C188" s="41"/>
      <c r="D188" s="41">
        <v>0.4</v>
      </c>
      <c r="E188" s="41">
        <v>0.3</v>
      </c>
      <c r="F188" s="41"/>
      <c r="G188" s="41">
        <v>2</v>
      </c>
      <c r="H188" s="41">
        <f t="shared" si="1"/>
        <v>0.24</v>
      </c>
    </row>
    <row r="189" spans="1:8" s="42" customFormat="1" ht="12.75">
      <c r="A189" s="41"/>
      <c r="B189" s="47"/>
      <c r="C189" s="48"/>
      <c r="D189" s="48"/>
      <c r="E189" s="48"/>
      <c r="F189" s="48"/>
      <c r="G189" s="46" t="s">
        <v>3</v>
      </c>
      <c r="H189" s="46">
        <f>SUM(H183:H188)</f>
        <v>45.13999999999999</v>
      </c>
    </row>
    <row r="190" spans="1:8" s="42" customFormat="1" ht="12.75">
      <c r="A190" s="41"/>
      <c r="B190" s="47"/>
      <c r="C190" s="48"/>
      <c r="D190" s="48"/>
      <c r="E190" s="48"/>
      <c r="F190" s="48"/>
      <c r="G190" s="41"/>
      <c r="H190" s="41"/>
    </row>
    <row r="191" spans="1:8" s="42" customFormat="1" ht="51">
      <c r="A191" s="64" t="s">
        <v>367</v>
      </c>
      <c r="B191" s="6" t="s">
        <v>373</v>
      </c>
      <c r="C191" s="5" t="s">
        <v>29</v>
      </c>
      <c r="D191" s="48"/>
      <c r="E191" s="48"/>
      <c r="F191" s="48"/>
      <c r="G191" s="41"/>
      <c r="H191" s="41"/>
    </row>
    <row r="192" spans="1:8" s="42" customFormat="1" ht="12.75">
      <c r="A192" s="41"/>
      <c r="B192" s="43" t="s">
        <v>326</v>
      </c>
      <c r="C192" s="41"/>
      <c r="D192" s="41">
        <v>0.4</v>
      </c>
      <c r="E192" s="41">
        <v>0.35</v>
      </c>
      <c r="F192" s="41"/>
      <c r="G192" s="41">
        <v>12</v>
      </c>
      <c r="H192" s="41">
        <f aca="true" t="shared" si="2" ref="H192:H199">ROUND(G192*E192*D192,2)</f>
        <v>1.68</v>
      </c>
    </row>
    <row r="193" spans="1:8" s="42" customFormat="1" ht="12.75">
      <c r="A193" s="41"/>
      <c r="B193" s="43"/>
      <c r="C193" s="41"/>
      <c r="D193" s="41">
        <v>0.2</v>
      </c>
      <c r="E193" s="41">
        <v>0.35</v>
      </c>
      <c r="F193" s="41"/>
      <c r="G193" s="41">
        <v>6</v>
      </c>
      <c r="H193" s="41">
        <f t="shared" si="2"/>
        <v>0.42</v>
      </c>
    </row>
    <row r="194" spans="1:8" s="42" customFormat="1" ht="12.75">
      <c r="A194" s="41"/>
      <c r="B194" s="43" t="s">
        <v>423</v>
      </c>
      <c r="C194" s="41"/>
      <c r="D194" s="41">
        <v>4.45</v>
      </c>
      <c r="E194" s="41">
        <v>0.1</v>
      </c>
      <c r="F194" s="41"/>
      <c r="G194" s="41">
        <v>1</v>
      </c>
      <c r="H194" s="41">
        <f t="shared" si="2"/>
        <v>0.45</v>
      </c>
    </row>
    <row r="195" spans="1:8" s="42" customFormat="1" ht="12.75">
      <c r="A195" s="41"/>
      <c r="B195" s="43"/>
      <c r="C195" s="41"/>
      <c r="D195" s="41">
        <v>0.45</v>
      </c>
      <c r="E195" s="41">
        <v>0.1</v>
      </c>
      <c r="F195" s="41"/>
      <c r="G195" s="41">
        <v>2</v>
      </c>
      <c r="H195" s="41">
        <f t="shared" si="2"/>
        <v>0.09</v>
      </c>
    </row>
    <row r="196" spans="1:8" s="42" customFormat="1" ht="12.75">
      <c r="A196" s="41"/>
      <c r="B196" s="43"/>
      <c r="C196" s="41"/>
      <c r="D196" s="41">
        <v>4.05</v>
      </c>
      <c r="E196" s="41">
        <v>0.1</v>
      </c>
      <c r="F196" s="41"/>
      <c r="G196" s="41">
        <v>1</v>
      </c>
      <c r="H196" s="41">
        <f t="shared" si="2"/>
        <v>0.41</v>
      </c>
    </row>
    <row r="197" spans="1:8" s="42" customFormat="1" ht="12.75">
      <c r="A197" s="41"/>
      <c r="B197" s="43"/>
      <c r="C197" s="41"/>
      <c r="D197" s="41">
        <v>0.45</v>
      </c>
      <c r="E197" s="41">
        <v>0.1</v>
      </c>
      <c r="F197" s="41"/>
      <c r="G197" s="41">
        <v>2</v>
      </c>
      <c r="H197" s="41">
        <f t="shared" si="2"/>
        <v>0.09</v>
      </c>
    </row>
    <row r="198" spans="1:8" s="42" customFormat="1" ht="12.75">
      <c r="A198" s="41"/>
      <c r="B198" s="43" t="s">
        <v>424</v>
      </c>
      <c r="C198" s="41"/>
      <c r="D198" s="41">
        <v>4.45</v>
      </c>
      <c r="E198" s="41">
        <v>0.1</v>
      </c>
      <c r="F198" s="41"/>
      <c r="G198" s="41">
        <v>1</v>
      </c>
      <c r="H198" s="41">
        <f t="shared" si="2"/>
        <v>0.45</v>
      </c>
    </row>
    <row r="199" spans="1:8" s="42" customFormat="1" ht="12.75">
      <c r="A199" s="41"/>
      <c r="B199" s="43"/>
      <c r="C199" s="41"/>
      <c r="D199" s="41">
        <v>4.05</v>
      </c>
      <c r="E199" s="41">
        <v>0.1</v>
      </c>
      <c r="F199" s="41"/>
      <c r="G199" s="41">
        <v>1</v>
      </c>
      <c r="H199" s="41">
        <f t="shared" si="2"/>
        <v>0.41</v>
      </c>
    </row>
    <row r="200" spans="1:8" s="42" customFormat="1" ht="12.75">
      <c r="A200" s="41"/>
      <c r="B200" s="43"/>
      <c r="C200" s="41"/>
      <c r="D200" s="41"/>
      <c r="E200" s="41"/>
      <c r="F200" s="41"/>
      <c r="G200" s="46" t="s">
        <v>3</v>
      </c>
      <c r="H200" s="46">
        <f>SUM(H192:H199)</f>
        <v>4</v>
      </c>
    </row>
    <row r="201" spans="1:8" s="42" customFormat="1" ht="12.75">
      <c r="A201" s="41"/>
      <c r="B201" s="47"/>
      <c r="C201" s="48"/>
      <c r="D201" s="48"/>
      <c r="E201" s="48"/>
      <c r="F201" s="48"/>
      <c r="G201" s="41"/>
      <c r="H201" s="41"/>
    </row>
    <row r="202" spans="1:8" s="42" customFormat="1" ht="51">
      <c r="A202" s="64" t="s">
        <v>416</v>
      </c>
      <c r="B202" s="6" t="s">
        <v>375</v>
      </c>
      <c r="C202" s="5" t="s">
        <v>30</v>
      </c>
      <c r="D202" s="48"/>
      <c r="E202" s="48"/>
      <c r="F202" s="48"/>
      <c r="G202" s="41"/>
      <c r="H202" s="41"/>
    </row>
    <row r="203" spans="1:8" s="42" customFormat="1" ht="12.75">
      <c r="A203" s="41"/>
      <c r="B203" s="43" t="s">
        <v>326</v>
      </c>
      <c r="C203" s="41"/>
      <c r="D203" s="41">
        <v>0.4</v>
      </c>
      <c r="E203" s="41">
        <v>0.35</v>
      </c>
      <c r="F203" s="41"/>
      <c r="G203" s="41">
        <v>12</v>
      </c>
      <c r="H203" s="41">
        <f aca="true" t="shared" si="3" ref="H203:H210">ROUND(G203*E203*D203,2)</f>
        <v>1.68</v>
      </c>
    </row>
    <row r="204" spans="1:8" s="42" customFormat="1" ht="12.75">
      <c r="A204" s="41"/>
      <c r="B204" s="43"/>
      <c r="C204" s="41"/>
      <c r="D204" s="41">
        <v>0.2</v>
      </c>
      <c r="E204" s="41">
        <v>0.35</v>
      </c>
      <c r="F204" s="41"/>
      <c r="G204" s="41">
        <v>6</v>
      </c>
      <c r="H204" s="41">
        <f t="shared" si="3"/>
        <v>0.42</v>
      </c>
    </row>
    <row r="205" spans="1:8" s="42" customFormat="1" ht="12.75">
      <c r="A205" s="41"/>
      <c r="B205" s="43" t="s">
        <v>423</v>
      </c>
      <c r="C205" s="41"/>
      <c r="D205" s="41">
        <v>4.45</v>
      </c>
      <c r="E205" s="41">
        <v>0.1</v>
      </c>
      <c r="F205" s="41"/>
      <c r="G205" s="41">
        <v>1</v>
      </c>
      <c r="H205" s="41">
        <f t="shared" si="3"/>
        <v>0.45</v>
      </c>
    </row>
    <row r="206" spans="1:8" s="42" customFormat="1" ht="12.75">
      <c r="A206" s="41"/>
      <c r="B206" s="43"/>
      <c r="C206" s="41"/>
      <c r="D206" s="41">
        <v>0.45</v>
      </c>
      <c r="E206" s="41">
        <v>0.1</v>
      </c>
      <c r="F206" s="41"/>
      <c r="G206" s="41">
        <v>2</v>
      </c>
      <c r="H206" s="41">
        <f t="shared" si="3"/>
        <v>0.09</v>
      </c>
    </row>
    <row r="207" spans="1:8" s="42" customFormat="1" ht="12.75">
      <c r="A207" s="41"/>
      <c r="B207" s="43"/>
      <c r="C207" s="41"/>
      <c r="D207" s="41">
        <v>4.05</v>
      </c>
      <c r="E207" s="41">
        <v>0.1</v>
      </c>
      <c r="F207" s="41"/>
      <c r="G207" s="41">
        <v>1</v>
      </c>
      <c r="H207" s="41">
        <f t="shared" si="3"/>
        <v>0.41</v>
      </c>
    </row>
    <row r="208" spans="1:8" s="42" customFormat="1" ht="12.75">
      <c r="A208" s="41"/>
      <c r="B208" s="43"/>
      <c r="C208" s="41"/>
      <c r="D208" s="41">
        <v>0.45</v>
      </c>
      <c r="E208" s="41">
        <v>0.1</v>
      </c>
      <c r="F208" s="41"/>
      <c r="G208" s="41">
        <v>2</v>
      </c>
      <c r="H208" s="41">
        <f t="shared" si="3"/>
        <v>0.09</v>
      </c>
    </row>
    <row r="209" spans="1:8" s="42" customFormat="1" ht="12.75">
      <c r="A209" s="41"/>
      <c r="B209" s="43" t="s">
        <v>424</v>
      </c>
      <c r="C209" s="41"/>
      <c r="D209" s="41">
        <v>4.45</v>
      </c>
      <c r="E209" s="41">
        <v>0.1</v>
      </c>
      <c r="F209" s="41"/>
      <c r="G209" s="41">
        <v>1</v>
      </c>
      <c r="H209" s="41">
        <f t="shared" si="3"/>
        <v>0.45</v>
      </c>
    </row>
    <row r="210" spans="1:8" s="42" customFormat="1" ht="12.75">
      <c r="A210" s="41"/>
      <c r="B210" s="43"/>
      <c r="C210" s="41"/>
      <c r="D210" s="41">
        <v>4.05</v>
      </c>
      <c r="E210" s="41">
        <v>0.1</v>
      </c>
      <c r="F210" s="41"/>
      <c r="G210" s="41">
        <v>1</v>
      </c>
      <c r="H210" s="41">
        <f t="shared" si="3"/>
        <v>0.41</v>
      </c>
    </row>
    <row r="211" spans="1:8" s="42" customFormat="1" ht="12.75">
      <c r="A211" s="41"/>
      <c r="B211" s="43"/>
      <c r="C211" s="41"/>
      <c r="D211" s="41"/>
      <c r="E211" s="41"/>
      <c r="F211" s="41"/>
      <c r="G211" s="46" t="s">
        <v>3</v>
      </c>
      <c r="H211" s="46">
        <f>SUM(H203:H210)</f>
        <v>4</v>
      </c>
    </row>
    <row r="212" spans="1:8" s="42" customFormat="1" ht="12.75">
      <c r="A212" s="41"/>
      <c r="B212" s="47"/>
      <c r="C212" s="48"/>
      <c r="D212" s="48"/>
      <c r="E212" s="48"/>
      <c r="F212" s="48"/>
      <c r="G212" s="41"/>
      <c r="H212" s="41"/>
    </row>
    <row r="213" spans="1:8" s="42" customFormat="1" ht="25.5">
      <c r="A213" s="64" t="s">
        <v>417</v>
      </c>
      <c r="B213" s="265" t="s">
        <v>319</v>
      </c>
      <c r="C213" s="155" t="s">
        <v>29</v>
      </c>
      <c r="D213" s="48"/>
      <c r="E213" s="48"/>
      <c r="F213" s="48"/>
      <c r="G213" s="41"/>
      <c r="H213" s="41"/>
    </row>
    <row r="214" spans="1:8" s="42" customFormat="1" ht="12.75">
      <c r="A214" s="41"/>
      <c r="B214" s="43" t="s">
        <v>420</v>
      </c>
      <c r="C214" s="41"/>
      <c r="D214" s="41">
        <f>8.4+5.15+1.9+1.9</f>
        <v>17.35</v>
      </c>
      <c r="E214" s="41">
        <v>0.55</v>
      </c>
      <c r="F214" s="41"/>
      <c r="G214" s="41">
        <v>2</v>
      </c>
      <c r="H214" s="41">
        <f aca="true" t="shared" si="4" ref="H214:H219">ROUND(G214*E214*D214,2)</f>
        <v>19.09</v>
      </c>
    </row>
    <row r="215" spans="1:8" s="42" customFormat="1" ht="12.75">
      <c r="A215" s="41"/>
      <c r="B215" s="43" t="s">
        <v>421</v>
      </c>
      <c r="C215" s="41"/>
      <c r="D215" s="41">
        <f>8+4.7+1.9+1.9</f>
        <v>16.5</v>
      </c>
      <c r="E215" s="41">
        <v>0.55</v>
      </c>
      <c r="F215" s="41"/>
      <c r="G215" s="41">
        <v>2</v>
      </c>
      <c r="H215" s="41">
        <f t="shared" si="4"/>
        <v>18.15</v>
      </c>
    </row>
    <row r="216" spans="1:8" s="42" customFormat="1" ht="12.75">
      <c r="A216" s="41"/>
      <c r="B216" s="47" t="s">
        <v>422</v>
      </c>
      <c r="C216" s="48"/>
      <c r="D216" s="48">
        <v>4.45</v>
      </c>
      <c r="E216" s="48">
        <v>0.1</v>
      </c>
      <c r="F216" s="48"/>
      <c r="G216" s="48">
        <v>-1</v>
      </c>
      <c r="H216" s="48">
        <f t="shared" si="4"/>
        <v>-0.45</v>
      </c>
    </row>
    <row r="217" spans="1:8" s="42" customFormat="1" ht="12.75">
      <c r="A217" s="41"/>
      <c r="B217" s="47"/>
      <c r="C217" s="48"/>
      <c r="D217" s="48">
        <v>4.05</v>
      </c>
      <c r="E217" s="48">
        <v>0.1</v>
      </c>
      <c r="F217" s="48"/>
      <c r="G217" s="48">
        <v>-1</v>
      </c>
      <c r="H217" s="48">
        <f t="shared" si="4"/>
        <v>-0.41</v>
      </c>
    </row>
    <row r="218" spans="1:8" s="42" customFormat="1" ht="12.75">
      <c r="A218" s="41"/>
      <c r="B218" s="43" t="s">
        <v>431</v>
      </c>
      <c r="C218" s="41"/>
      <c r="D218" s="41">
        <v>14.2</v>
      </c>
      <c r="E218" s="41">
        <v>0.3</v>
      </c>
      <c r="F218" s="41"/>
      <c r="G218" s="41">
        <v>2</v>
      </c>
      <c r="H218" s="41">
        <f t="shared" si="4"/>
        <v>8.52</v>
      </c>
    </row>
    <row r="219" spans="1:8" s="42" customFormat="1" ht="12.75">
      <c r="A219" s="41"/>
      <c r="B219" s="43"/>
      <c r="C219" s="41"/>
      <c r="D219" s="41">
        <v>0.4</v>
      </c>
      <c r="E219" s="41">
        <v>0.3</v>
      </c>
      <c r="F219" s="41"/>
      <c r="G219" s="41">
        <v>2</v>
      </c>
      <c r="H219" s="41">
        <f t="shared" si="4"/>
        <v>0.24</v>
      </c>
    </row>
    <row r="220" spans="1:8" s="42" customFormat="1" ht="12.75">
      <c r="A220" s="41"/>
      <c r="B220" s="47"/>
      <c r="C220" s="48"/>
      <c r="D220" s="48"/>
      <c r="E220" s="48"/>
      <c r="F220" s="48"/>
      <c r="G220" s="46" t="s">
        <v>3</v>
      </c>
      <c r="H220" s="46">
        <f>SUM(H214:H219)</f>
        <v>45.13999999999999</v>
      </c>
    </row>
    <row r="221" spans="1:8" s="42" customFormat="1" ht="12.75">
      <c r="A221" s="41"/>
      <c r="B221" s="47"/>
      <c r="C221" s="48"/>
      <c r="D221" s="48"/>
      <c r="E221" s="48"/>
      <c r="F221" s="48"/>
      <c r="G221" s="41"/>
      <c r="H221" s="41"/>
    </row>
    <row r="222" spans="1:8" s="42" customFormat="1" ht="12.75">
      <c r="A222" s="64" t="s">
        <v>432</v>
      </c>
      <c r="B222" s="6" t="s">
        <v>403</v>
      </c>
      <c r="C222" s="5" t="s">
        <v>30</v>
      </c>
      <c r="D222" s="48"/>
      <c r="E222" s="48"/>
      <c r="F222" s="48"/>
      <c r="G222" s="41"/>
      <c r="H222" s="41"/>
    </row>
    <row r="223" spans="1:8" s="42" customFormat="1" ht="12.75">
      <c r="A223" s="41"/>
      <c r="B223" s="43" t="s">
        <v>427</v>
      </c>
      <c r="C223" s="41"/>
      <c r="D223" s="41">
        <f>(8+5.15)/2</f>
        <v>6.575</v>
      </c>
      <c r="E223" s="41">
        <v>0.45</v>
      </c>
      <c r="F223" s="41">
        <v>1.8</v>
      </c>
      <c r="G223" s="41">
        <v>1</v>
      </c>
      <c r="H223" s="41">
        <f>ROUND(G223*F223*E223*D223,2)</f>
        <v>5.33</v>
      </c>
    </row>
    <row r="224" spans="1:8" s="42" customFormat="1" ht="12.75">
      <c r="A224" s="41"/>
      <c r="B224" s="43"/>
      <c r="C224" s="41"/>
      <c r="D224" s="41">
        <f>(7.55+4.7)/2</f>
        <v>6.125</v>
      </c>
      <c r="E224" s="41">
        <v>0.45</v>
      </c>
      <c r="F224" s="41">
        <v>1.8</v>
      </c>
      <c r="G224" s="41">
        <v>1</v>
      </c>
      <c r="H224" s="41">
        <f>ROUND(G224*F224*E224*D224,2)</f>
        <v>4.96</v>
      </c>
    </row>
    <row r="225" spans="1:8" s="42" customFormat="1" ht="12.75">
      <c r="A225" s="41"/>
      <c r="B225" s="43"/>
      <c r="C225" s="41"/>
      <c r="D225" s="41"/>
      <c r="E225" s="41"/>
      <c r="F225" s="41"/>
      <c r="G225" s="46" t="s">
        <v>3</v>
      </c>
      <c r="H225" s="46">
        <f>SUM(H223:H224)</f>
        <v>10.29</v>
      </c>
    </row>
    <row r="226" spans="1:8" s="42" customFormat="1" ht="12.75">
      <c r="A226" s="41"/>
      <c r="B226" s="43"/>
      <c r="C226" s="41"/>
      <c r="D226" s="41"/>
      <c r="E226" s="41"/>
      <c r="F226" s="41"/>
      <c r="G226" s="41"/>
      <c r="H226" s="41"/>
    </row>
    <row r="227" spans="1:8" s="42" customFormat="1" ht="12.75">
      <c r="A227" s="64" t="s">
        <v>447</v>
      </c>
      <c r="B227" s="6" t="s">
        <v>404</v>
      </c>
      <c r="C227" s="5" t="s">
        <v>29</v>
      </c>
      <c r="D227" s="41"/>
      <c r="E227" s="41"/>
      <c r="F227" s="41"/>
      <c r="G227" s="41"/>
      <c r="H227" s="41"/>
    </row>
    <row r="228" spans="1:8" s="42" customFormat="1" ht="12.75">
      <c r="A228" s="41"/>
      <c r="B228" s="43" t="s">
        <v>428</v>
      </c>
      <c r="C228" s="41"/>
      <c r="D228" s="41">
        <f>(8+5.15)/2</f>
        <v>6.575</v>
      </c>
      <c r="E228" s="41"/>
      <c r="F228" s="41">
        <v>1.8</v>
      </c>
      <c r="G228" s="41">
        <v>1</v>
      </c>
      <c r="H228" s="41">
        <f>ROUND(G228*F228*D228,2)</f>
        <v>11.84</v>
      </c>
    </row>
    <row r="229" spans="1:8" s="42" customFormat="1" ht="12.75">
      <c r="A229" s="41"/>
      <c r="B229" s="43" t="s">
        <v>429</v>
      </c>
      <c r="C229" s="41"/>
      <c r="D229" s="41">
        <f>(7.55+4.7)/2</f>
        <v>6.125</v>
      </c>
      <c r="E229" s="41"/>
      <c r="F229" s="41">
        <v>1.8</v>
      </c>
      <c r="G229" s="41">
        <v>1</v>
      </c>
      <c r="H229" s="41">
        <f>ROUND(G229*F229*D229,2)</f>
        <v>11.03</v>
      </c>
    </row>
    <row r="230" spans="1:8" s="42" customFormat="1" ht="12.75">
      <c r="A230" s="41"/>
      <c r="B230" s="43"/>
      <c r="C230" s="41"/>
      <c r="D230" s="41"/>
      <c r="E230" s="41"/>
      <c r="F230" s="41"/>
      <c r="G230" s="46" t="s">
        <v>3</v>
      </c>
      <c r="H230" s="46">
        <f>SUM(H228:H229)</f>
        <v>22.869999999999997</v>
      </c>
    </row>
    <row r="231" spans="1:8" s="42" customFormat="1" ht="12.75">
      <c r="A231" s="41"/>
      <c r="B231" s="43"/>
      <c r="C231" s="41"/>
      <c r="D231" s="41"/>
      <c r="E231" s="41"/>
      <c r="F231" s="41"/>
      <c r="G231" s="41"/>
      <c r="H231" s="41"/>
    </row>
    <row r="232" spans="1:8" s="42" customFormat="1" ht="12.75">
      <c r="A232" s="64" t="s">
        <v>448</v>
      </c>
      <c r="B232" s="6" t="s">
        <v>405</v>
      </c>
      <c r="C232" s="5" t="s">
        <v>29</v>
      </c>
      <c r="D232" s="48"/>
      <c r="E232" s="48"/>
      <c r="F232" s="48"/>
      <c r="G232" s="41"/>
      <c r="H232" s="41"/>
    </row>
    <row r="233" spans="1:8" s="42" customFormat="1" ht="12.75">
      <c r="A233" s="41"/>
      <c r="B233" s="43" t="s">
        <v>428</v>
      </c>
      <c r="C233" s="41"/>
      <c r="D233" s="41">
        <f>(8+5.15)/2</f>
        <v>6.575</v>
      </c>
      <c r="E233" s="41"/>
      <c r="F233" s="41">
        <v>1.8</v>
      </c>
      <c r="G233" s="41">
        <v>1</v>
      </c>
      <c r="H233" s="41">
        <f>ROUND(G233*F233*D233,2)</f>
        <v>11.84</v>
      </c>
    </row>
    <row r="234" spans="1:8" s="42" customFormat="1" ht="12.75">
      <c r="A234" s="41"/>
      <c r="B234" s="43" t="s">
        <v>429</v>
      </c>
      <c r="C234" s="41"/>
      <c r="D234" s="41">
        <f>(7.55+4.7)/2</f>
        <v>6.125</v>
      </c>
      <c r="E234" s="41"/>
      <c r="F234" s="41">
        <v>1.8</v>
      </c>
      <c r="G234" s="41">
        <v>1</v>
      </c>
      <c r="H234" s="41">
        <f>ROUND(G234*F234*D234,2)</f>
        <v>11.03</v>
      </c>
    </row>
    <row r="235" spans="1:8" s="42" customFormat="1" ht="12.75">
      <c r="A235" s="41"/>
      <c r="B235" s="43"/>
      <c r="C235" s="41"/>
      <c r="D235" s="41"/>
      <c r="E235" s="41"/>
      <c r="F235" s="41"/>
      <c r="G235" s="46" t="s">
        <v>3</v>
      </c>
      <c r="H235" s="46">
        <f>SUM(H233:H234)</f>
        <v>22.869999999999997</v>
      </c>
    </row>
    <row r="236" spans="1:8" s="42" customFormat="1" ht="12.75">
      <c r="A236" s="41"/>
      <c r="B236" s="47"/>
      <c r="C236" s="48"/>
      <c r="D236" s="48"/>
      <c r="E236" s="48"/>
      <c r="F236" s="48"/>
      <c r="G236" s="41"/>
      <c r="H236" s="41"/>
    </row>
    <row r="237" spans="1:8" s="42" customFormat="1" ht="12.75">
      <c r="A237" s="64" t="s">
        <v>449</v>
      </c>
      <c r="B237" s="6" t="s">
        <v>406</v>
      </c>
      <c r="C237" s="5" t="s">
        <v>35</v>
      </c>
      <c r="D237" s="48"/>
      <c r="E237" s="48"/>
      <c r="F237" s="48"/>
      <c r="G237" s="41"/>
      <c r="H237" s="41"/>
    </row>
    <row r="238" spans="1:8" s="42" customFormat="1" ht="12.75">
      <c r="A238" s="41"/>
      <c r="B238" s="43" t="s">
        <v>428</v>
      </c>
      <c r="C238" s="48"/>
      <c r="D238" s="48"/>
      <c r="E238" s="48"/>
      <c r="F238" s="48"/>
      <c r="G238" s="41"/>
      <c r="H238" s="41">
        <v>10</v>
      </c>
    </row>
    <row r="239" spans="1:8" s="42" customFormat="1" ht="12.75">
      <c r="A239" s="41"/>
      <c r="B239" s="43" t="s">
        <v>429</v>
      </c>
      <c r="C239" s="48"/>
      <c r="D239" s="48"/>
      <c r="E239" s="48"/>
      <c r="F239" s="48"/>
      <c r="G239" s="41"/>
      <c r="H239" s="41">
        <v>10</v>
      </c>
    </row>
    <row r="240" spans="1:8" s="42" customFormat="1" ht="12.75">
      <c r="A240" s="41"/>
      <c r="B240" s="47"/>
      <c r="C240" s="48"/>
      <c r="D240" s="48"/>
      <c r="E240" s="48"/>
      <c r="F240" s="48"/>
      <c r="G240" s="46" t="s">
        <v>3</v>
      </c>
      <c r="H240" s="46">
        <f>SUM(H238:H239)</f>
        <v>20</v>
      </c>
    </row>
    <row r="241" spans="1:8" s="42" customFormat="1" ht="12.75">
      <c r="A241" s="41"/>
      <c r="B241" s="47"/>
      <c r="C241" s="48"/>
      <c r="D241" s="48"/>
      <c r="E241" s="48"/>
      <c r="F241" s="48"/>
      <c r="G241" s="41"/>
      <c r="H241" s="41"/>
    </row>
    <row r="242" spans="1:8" s="42" customFormat="1" ht="12.75">
      <c r="A242" s="64" t="s">
        <v>453</v>
      </c>
      <c r="B242" s="61" t="s">
        <v>402</v>
      </c>
      <c r="C242" s="111" t="s">
        <v>35</v>
      </c>
      <c r="D242" s="48"/>
      <c r="E242" s="48"/>
      <c r="F242" s="48"/>
      <c r="G242" s="41"/>
      <c r="H242" s="41"/>
    </row>
    <row r="243" spans="1:8" s="42" customFormat="1" ht="12.75">
      <c r="A243" s="41"/>
      <c r="B243" s="63" t="s">
        <v>490</v>
      </c>
      <c r="C243" s="358"/>
      <c r="D243" s="41">
        <v>1.2</v>
      </c>
      <c r="E243" s="41">
        <v>1.3</v>
      </c>
      <c r="F243" s="41"/>
      <c r="G243" s="41">
        <v>20</v>
      </c>
      <c r="H243" s="41">
        <f>ROUND(G243*E243*D243,2)</f>
        <v>31.2</v>
      </c>
    </row>
    <row r="244" spans="1:9" s="42" customFormat="1" ht="12.75">
      <c r="A244" s="41"/>
      <c r="B244" s="63"/>
      <c r="C244" s="358"/>
      <c r="D244" s="41">
        <v>1.2</v>
      </c>
      <c r="E244" s="41"/>
      <c r="F244" s="41">
        <v>0.2</v>
      </c>
      <c r="G244" s="41">
        <v>20</v>
      </c>
      <c r="H244" s="41">
        <f>ROUND(G244*F244*D244,2)</f>
        <v>4.8</v>
      </c>
      <c r="I244" s="42">
        <v>5.56</v>
      </c>
    </row>
    <row r="245" spans="1:8" s="42" customFormat="1" ht="12.75">
      <c r="A245" s="41"/>
      <c r="B245" s="63"/>
      <c r="C245" s="358"/>
      <c r="D245" s="41">
        <v>0.2</v>
      </c>
      <c r="E245" s="41">
        <v>1.3</v>
      </c>
      <c r="F245" s="41"/>
      <c r="G245" s="41">
        <v>25</v>
      </c>
      <c r="H245" s="41">
        <f>ROUND(G245*E245*D245,2)</f>
        <v>6.5</v>
      </c>
    </row>
    <row r="246" spans="1:8" s="42" customFormat="1" ht="12.75">
      <c r="A246" s="41"/>
      <c r="B246" s="63" t="s">
        <v>491</v>
      </c>
      <c r="C246" s="358"/>
      <c r="D246" s="41">
        <v>2</v>
      </c>
      <c r="E246" s="41">
        <v>0.25</v>
      </c>
      <c r="F246" s="41"/>
      <c r="G246" s="41">
        <v>1</v>
      </c>
      <c r="H246" s="41">
        <f>ROUND(G246*E246*D246,2)</f>
        <v>0.5</v>
      </c>
    </row>
    <row r="247" spans="1:8" s="42" customFormat="1" ht="12.75">
      <c r="A247" s="41"/>
      <c r="B247" s="63"/>
      <c r="C247" s="358"/>
      <c r="D247" s="41">
        <v>0.5</v>
      </c>
      <c r="E247" s="41">
        <v>0.25</v>
      </c>
      <c r="F247" s="41"/>
      <c r="G247" s="41">
        <v>1</v>
      </c>
      <c r="H247" s="41">
        <f>ROUND(G247*E247*D247,2)</f>
        <v>0.13</v>
      </c>
    </row>
    <row r="248" spans="1:8" s="42" customFormat="1" ht="12.75">
      <c r="A248" s="41"/>
      <c r="B248" s="63"/>
      <c r="C248" s="358"/>
      <c r="D248" s="41">
        <v>2.5</v>
      </c>
      <c r="E248" s="41">
        <v>0.25</v>
      </c>
      <c r="F248" s="41"/>
      <c r="G248" s="41">
        <v>1</v>
      </c>
      <c r="H248" s="41">
        <f>ROUND(G248*E248*D248,2)</f>
        <v>0.63</v>
      </c>
    </row>
    <row r="249" spans="1:8" s="42" customFormat="1" ht="12.75">
      <c r="A249" s="41"/>
      <c r="B249" s="43"/>
      <c r="C249" s="41"/>
      <c r="D249" s="41"/>
      <c r="E249" s="41"/>
      <c r="F249" s="41"/>
      <c r="G249" s="46" t="s">
        <v>536</v>
      </c>
      <c r="H249" s="46">
        <f>SUM(H243:H248)</f>
        <v>43.760000000000005</v>
      </c>
    </row>
    <row r="250" spans="1:8" s="42" customFormat="1" ht="12.75">
      <c r="A250" s="41"/>
      <c r="B250" s="43"/>
      <c r="C250" s="41"/>
      <c r="D250" s="41"/>
      <c r="E250" s="41"/>
      <c r="F250" s="41"/>
      <c r="G250" s="46" t="s">
        <v>15</v>
      </c>
      <c r="H250" s="46">
        <v>1</v>
      </c>
    </row>
    <row r="251" spans="1:8" s="42" customFormat="1" ht="12.75">
      <c r="A251" s="41"/>
      <c r="B251" s="47"/>
      <c r="C251" s="48"/>
      <c r="D251" s="48"/>
      <c r="E251" s="48"/>
      <c r="F251" s="48"/>
      <c r="G251" s="41"/>
      <c r="H251" s="41"/>
    </row>
    <row r="252" spans="1:8" s="42" customFormat="1" ht="12.75">
      <c r="A252" s="7" t="s">
        <v>430</v>
      </c>
      <c r="B252" s="9" t="s">
        <v>331</v>
      </c>
      <c r="C252" s="48"/>
      <c r="D252" s="48"/>
      <c r="E252" s="48"/>
      <c r="F252" s="48"/>
      <c r="G252" s="41"/>
      <c r="H252" s="41"/>
    </row>
    <row r="253" spans="1:8" s="42" customFormat="1" ht="25.5">
      <c r="A253" s="64" t="s">
        <v>433</v>
      </c>
      <c r="B253" s="248" t="s">
        <v>256</v>
      </c>
      <c r="C253" s="155" t="s">
        <v>35</v>
      </c>
      <c r="D253" s="48"/>
      <c r="E253" s="48"/>
      <c r="F253" s="48"/>
      <c r="G253" s="41"/>
      <c r="H253" s="41"/>
    </row>
    <row r="254" spans="1:8" s="42" customFormat="1" ht="12.75">
      <c r="A254" s="41"/>
      <c r="B254" s="43" t="s">
        <v>255</v>
      </c>
      <c r="C254" s="45"/>
      <c r="D254" s="41"/>
      <c r="E254" s="41"/>
      <c r="F254" s="41"/>
      <c r="G254" s="41"/>
      <c r="H254" s="41">
        <v>3</v>
      </c>
    </row>
    <row r="255" spans="1:8" s="42" customFormat="1" ht="12.75">
      <c r="A255" s="64"/>
      <c r="B255" s="63"/>
      <c r="C255" s="45"/>
      <c r="D255" s="41"/>
      <c r="E255" s="41"/>
      <c r="F255" s="41"/>
      <c r="G255" s="46" t="s">
        <v>3</v>
      </c>
      <c r="H255" s="46">
        <f>SUM(H254:H254)</f>
        <v>3</v>
      </c>
    </row>
    <row r="256" spans="1:8" s="42" customFormat="1" ht="12.75">
      <c r="A256" s="41"/>
      <c r="B256" s="43"/>
      <c r="C256" s="41"/>
      <c r="D256" s="41"/>
      <c r="E256" s="41"/>
      <c r="F256" s="41"/>
      <c r="G256" s="41"/>
      <c r="H256" s="41"/>
    </row>
    <row r="257" spans="1:8" s="42" customFormat="1" ht="25.5">
      <c r="A257" s="64" t="s">
        <v>434</v>
      </c>
      <c r="B257" s="285" t="s">
        <v>250</v>
      </c>
      <c r="C257" s="167" t="s">
        <v>30</v>
      </c>
      <c r="D257" s="41"/>
      <c r="E257" s="41"/>
      <c r="F257" s="41"/>
      <c r="G257" s="46"/>
      <c r="H257" s="46"/>
    </row>
    <row r="258" spans="1:8" s="42" customFormat="1" ht="12.75">
      <c r="A258" s="41"/>
      <c r="B258" s="43" t="s">
        <v>258</v>
      </c>
      <c r="C258" s="41"/>
      <c r="D258" s="41">
        <v>0.3</v>
      </c>
      <c r="E258" s="41">
        <v>0.7</v>
      </c>
      <c r="F258" s="41">
        <v>0.3</v>
      </c>
      <c r="G258" s="41">
        <v>3</v>
      </c>
      <c r="H258" s="41">
        <f>ROUND(G258*F258*E258*D258,2)</f>
        <v>0.19</v>
      </c>
    </row>
    <row r="259" spans="1:8" s="42" customFormat="1" ht="12.75">
      <c r="A259" s="64"/>
      <c r="B259" s="6"/>
      <c r="C259" s="167"/>
      <c r="D259" s="41"/>
      <c r="E259" s="41"/>
      <c r="F259" s="41"/>
      <c r="G259" s="46" t="s">
        <v>3</v>
      </c>
      <c r="H259" s="46">
        <f>SUM(H256:H258)</f>
        <v>0.19</v>
      </c>
    </row>
    <row r="260" spans="1:8" s="42" customFormat="1" ht="12.75">
      <c r="A260" s="111"/>
      <c r="B260" s="166"/>
      <c r="C260" s="111"/>
      <c r="D260" s="41"/>
      <c r="E260" s="41"/>
      <c r="F260" s="41"/>
      <c r="G260" s="41"/>
      <c r="H260" s="41"/>
    </row>
    <row r="261" spans="1:8" s="42" customFormat="1" ht="38.25">
      <c r="A261" s="64" t="s">
        <v>435</v>
      </c>
      <c r="B261" s="265" t="s">
        <v>251</v>
      </c>
      <c r="C261" s="155" t="s">
        <v>30</v>
      </c>
      <c r="D261" s="41"/>
      <c r="E261" s="41"/>
      <c r="F261" s="41"/>
      <c r="G261" s="46"/>
      <c r="H261" s="46"/>
    </row>
    <row r="262" spans="1:8" s="42" customFormat="1" ht="12.75">
      <c r="A262" s="111"/>
      <c r="B262" s="43" t="s">
        <v>258</v>
      </c>
      <c r="C262" s="41"/>
      <c r="D262" s="41">
        <v>0.3</v>
      </c>
      <c r="E262" s="41">
        <v>0.7</v>
      </c>
      <c r="F262" s="41">
        <v>0.3</v>
      </c>
      <c r="G262" s="41">
        <v>3</v>
      </c>
      <c r="H262" s="41">
        <f>ROUND(G262*F262*E262*D262,2)</f>
        <v>0.19</v>
      </c>
    </row>
    <row r="263" spans="1:8" s="42" customFormat="1" ht="12.75">
      <c r="A263" s="64"/>
      <c r="B263" s="61"/>
      <c r="C263" s="359"/>
      <c r="D263" s="41"/>
      <c r="E263" s="41"/>
      <c r="F263" s="41"/>
      <c r="G263" s="46" t="s">
        <v>3</v>
      </c>
      <c r="H263" s="46">
        <f>SUM(H260:H262)</f>
        <v>0.19</v>
      </c>
    </row>
    <row r="264" spans="1:8" s="42" customFormat="1" ht="12.75">
      <c r="A264" s="41"/>
      <c r="B264" s="63"/>
      <c r="C264" s="111"/>
      <c r="D264" s="41"/>
      <c r="E264" s="41"/>
      <c r="F264" s="41"/>
      <c r="G264" s="41"/>
      <c r="H264" s="41"/>
    </row>
    <row r="265" spans="1:8" s="42" customFormat="1" ht="12.75">
      <c r="A265" s="64" t="s">
        <v>436</v>
      </c>
      <c r="B265" s="61" t="s">
        <v>440</v>
      </c>
      <c r="C265" s="171" t="s">
        <v>35</v>
      </c>
      <c r="D265" s="41"/>
      <c r="E265" s="41"/>
      <c r="F265" s="41"/>
      <c r="G265" s="46"/>
      <c r="H265" s="46"/>
    </row>
    <row r="266" spans="1:8" s="42" customFormat="1" ht="12.75">
      <c r="A266" s="41"/>
      <c r="B266" s="43" t="s">
        <v>255</v>
      </c>
      <c r="C266" s="41"/>
      <c r="D266" s="41"/>
      <c r="E266" s="41"/>
      <c r="F266" s="41"/>
      <c r="G266" s="41"/>
      <c r="H266" s="41">
        <v>3</v>
      </c>
    </row>
    <row r="267" spans="1:8" s="42" customFormat="1" ht="12.75">
      <c r="A267" s="64"/>
      <c r="B267" s="61"/>
      <c r="C267" s="111"/>
      <c r="D267" s="41"/>
      <c r="E267" s="41"/>
      <c r="F267" s="41"/>
      <c r="G267" s="46" t="s">
        <v>3</v>
      </c>
      <c r="H267" s="46">
        <f>SUM(H266:H266)</f>
        <v>3</v>
      </c>
    </row>
    <row r="268" spans="1:8" s="42" customFormat="1" ht="12.75">
      <c r="A268" s="41"/>
      <c r="B268" s="63"/>
      <c r="C268" s="111"/>
      <c r="D268" s="41"/>
      <c r="E268" s="41"/>
      <c r="F268" s="41"/>
      <c r="G268" s="41"/>
      <c r="H268" s="41"/>
    </row>
    <row r="269" spans="1:8" s="42" customFormat="1" ht="25.5">
      <c r="A269" s="64" t="s">
        <v>437</v>
      </c>
      <c r="B269" s="61" t="s">
        <v>506</v>
      </c>
      <c r="C269" s="171" t="s">
        <v>35</v>
      </c>
      <c r="D269" s="41"/>
      <c r="E269" s="41"/>
      <c r="F269" s="41"/>
      <c r="G269" s="46"/>
      <c r="H269" s="46"/>
    </row>
    <row r="270" spans="1:8" s="42" customFormat="1" ht="12.75">
      <c r="A270" s="41"/>
      <c r="B270" s="43" t="s">
        <v>442</v>
      </c>
      <c r="C270" s="41">
        <v>4</v>
      </c>
      <c r="D270" s="41"/>
      <c r="E270" s="41"/>
      <c r="F270" s="41"/>
      <c r="G270" s="41">
        <v>3</v>
      </c>
      <c r="H270" s="41">
        <f>ROUND(G270*C270,2)</f>
        <v>12</v>
      </c>
    </row>
    <row r="271" spans="1:8" s="42" customFormat="1" ht="12.75">
      <c r="A271" s="64"/>
      <c r="B271" s="61"/>
      <c r="C271" s="111"/>
      <c r="D271" s="41"/>
      <c r="E271" s="41"/>
      <c r="F271" s="41"/>
      <c r="G271" s="46" t="s">
        <v>3</v>
      </c>
      <c r="H271" s="46">
        <f>SUM(H270:H270)</f>
        <v>12</v>
      </c>
    </row>
    <row r="272" spans="1:8" s="42" customFormat="1" ht="12.75">
      <c r="A272" s="111"/>
      <c r="B272" s="43"/>
      <c r="C272" s="41"/>
      <c r="D272" s="41"/>
      <c r="E272" s="41"/>
      <c r="F272" s="41"/>
      <c r="G272" s="41"/>
      <c r="H272" s="41"/>
    </row>
    <row r="273" spans="1:8" s="42" customFormat="1" ht="25.5">
      <c r="A273" s="64" t="s">
        <v>438</v>
      </c>
      <c r="B273" s="58" t="s">
        <v>441</v>
      </c>
      <c r="C273" s="171" t="s">
        <v>35</v>
      </c>
      <c r="D273" s="41"/>
      <c r="E273" s="41"/>
      <c r="F273" s="41"/>
      <c r="G273" s="41"/>
      <c r="H273" s="41"/>
    </row>
    <row r="274" spans="1:8" s="42" customFormat="1" ht="12.75">
      <c r="A274" s="41"/>
      <c r="B274" s="43" t="s">
        <v>443</v>
      </c>
      <c r="C274" s="41"/>
      <c r="D274" s="41"/>
      <c r="E274" s="41"/>
      <c r="F274" s="41"/>
      <c r="G274" s="41"/>
      <c r="H274" s="41">
        <v>4</v>
      </c>
    </row>
    <row r="275" spans="1:8" s="42" customFormat="1" ht="12.75">
      <c r="A275" s="41"/>
      <c r="B275" s="166" t="s">
        <v>444</v>
      </c>
      <c r="C275" s="5"/>
      <c r="D275" s="41"/>
      <c r="E275" s="41"/>
      <c r="F275" s="41"/>
      <c r="G275" s="46"/>
      <c r="H275" s="41">
        <v>2</v>
      </c>
    </row>
    <row r="276" spans="1:8" s="42" customFormat="1" ht="12.75">
      <c r="A276" s="41"/>
      <c r="B276" s="47"/>
      <c r="C276" s="48"/>
      <c r="D276" s="48"/>
      <c r="E276" s="48"/>
      <c r="F276" s="48"/>
      <c r="G276" s="46" t="s">
        <v>3</v>
      </c>
      <c r="H276" s="46">
        <f>SUM(H274:H275)</f>
        <v>6</v>
      </c>
    </row>
    <row r="277" spans="1:8" ht="12.75">
      <c r="A277" s="64"/>
      <c r="B277" s="166"/>
      <c r="C277" s="155"/>
      <c r="D277" s="140"/>
      <c r="E277" s="140"/>
      <c r="F277" s="140"/>
      <c r="G277" s="140"/>
      <c r="H277" s="140"/>
    </row>
    <row r="278" spans="1:8" ht="12.75">
      <c r="A278" s="266" t="s">
        <v>25</v>
      </c>
      <c r="B278" s="267" t="s">
        <v>293</v>
      </c>
      <c r="C278" s="264"/>
      <c r="D278" s="140"/>
      <c r="E278" s="140"/>
      <c r="F278" s="140"/>
      <c r="G278" s="41"/>
      <c r="H278" s="41"/>
    </row>
    <row r="279" spans="1:8" ht="12.75">
      <c r="A279" s="266" t="s">
        <v>26</v>
      </c>
      <c r="B279" s="267" t="s">
        <v>294</v>
      </c>
      <c r="C279" s="264"/>
      <c r="D279" s="140"/>
      <c r="E279" s="140"/>
      <c r="F279" s="140"/>
      <c r="G279" s="41"/>
      <c r="H279" s="41"/>
    </row>
    <row r="280" spans="1:8" ht="25.5">
      <c r="A280" s="260" t="s">
        <v>295</v>
      </c>
      <c r="B280" s="285" t="s">
        <v>250</v>
      </c>
      <c r="C280" s="167" t="s">
        <v>30</v>
      </c>
      <c r="D280" s="140"/>
      <c r="E280" s="140"/>
      <c r="F280" s="140"/>
      <c r="G280" s="41"/>
      <c r="H280" s="41"/>
    </row>
    <row r="281" spans="1:8" ht="12.75">
      <c r="A281" s="313"/>
      <c r="B281" s="314" t="s">
        <v>458</v>
      </c>
      <c r="C281" s="259"/>
      <c r="D281" s="140">
        <v>0.8</v>
      </c>
      <c r="E281" s="140">
        <v>0.6</v>
      </c>
      <c r="F281" s="140">
        <v>0.8</v>
      </c>
      <c r="G281" s="41">
        <v>2</v>
      </c>
      <c r="H281" s="41">
        <f>ROUND(G281*F281*E281*D281,2)</f>
        <v>0.77</v>
      </c>
    </row>
    <row r="282" spans="1:8" ht="12.75">
      <c r="A282" s="313"/>
      <c r="B282" s="314"/>
      <c r="C282" s="259"/>
      <c r="D282" s="140"/>
      <c r="E282" s="140"/>
      <c r="F282" s="140"/>
      <c r="G282" s="46" t="s">
        <v>3</v>
      </c>
      <c r="H282" s="46">
        <f>H281</f>
        <v>0.77</v>
      </c>
    </row>
    <row r="283" spans="1:8" ht="12.75">
      <c r="A283" s="313"/>
      <c r="B283" s="314"/>
      <c r="C283" s="259"/>
      <c r="D283" s="140"/>
      <c r="E283" s="140"/>
      <c r="F283" s="140"/>
      <c r="G283" s="41"/>
      <c r="H283" s="41"/>
    </row>
    <row r="284" spans="1:8" ht="25.5">
      <c r="A284" s="260" t="s">
        <v>296</v>
      </c>
      <c r="B284" s="6" t="s">
        <v>126</v>
      </c>
      <c r="C284" s="155" t="s">
        <v>29</v>
      </c>
      <c r="D284" s="140"/>
      <c r="E284" s="140"/>
      <c r="F284" s="140"/>
      <c r="G284" s="41"/>
      <c r="H284" s="41"/>
    </row>
    <row r="285" spans="1:8" ht="12.75">
      <c r="A285" s="313"/>
      <c r="B285" s="314" t="s">
        <v>458</v>
      </c>
      <c r="C285" s="259"/>
      <c r="D285" s="140">
        <v>0.8</v>
      </c>
      <c r="E285" s="140"/>
      <c r="F285" s="140">
        <v>0.8</v>
      </c>
      <c r="G285" s="41">
        <v>2</v>
      </c>
      <c r="H285" s="41">
        <f>ROUND(G285*F285*D285,2)</f>
        <v>1.28</v>
      </c>
    </row>
    <row r="286" spans="1:8" ht="12.75">
      <c r="A286" s="313"/>
      <c r="B286" s="314"/>
      <c r="C286" s="259"/>
      <c r="D286" s="140"/>
      <c r="E286" s="140"/>
      <c r="F286" s="140"/>
      <c r="G286" s="46" t="s">
        <v>3</v>
      </c>
      <c r="H286" s="46">
        <f>H285</f>
        <v>1.28</v>
      </c>
    </row>
    <row r="287" spans="1:8" ht="12.75">
      <c r="A287" s="313"/>
      <c r="B287" s="314"/>
      <c r="C287" s="259"/>
      <c r="D287" s="140"/>
      <c r="E287" s="140"/>
      <c r="F287" s="140"/>
      <c r="G287" s="41"/>
      <c r="H287" s="41"/>
    </row>
    <row r="288" spans="1:8" ht="12.75">
      <c r="A288" s="266" t="s">
        <v>101</v>
      </c>
      <c r="B288" s="267" t="s">
        <v>298</v>
      </c>
      <c r="C288" s="264"/>
      <c r="D288" s="140"/>
      <c r="E288" s="140"/>
      <c r="F288" s="140"/>
      <c r="G288" s="41"/>
      <c r="H288" s="41"/>
    </row>
    <row r="289" spans="1:8" ht="38.25">
      <c r="A289" s="260" t="s">
        <v>299</v>
      </c>
      <c r="B289" s="6" t="s">
        <v>251</v>
      </c>
      <c r="C289" s="5" t="s">
        <v>30</v>
      </c>
      <c r="D289" s="140"/>
      <c r="E289" s="140"/>
      <c r="F289" s="140"/>
      <c r="G289" s="41"/>
      <c r="H289" s="41"/>
    </row>
    <row r="290" spans="1:8" ht="12.75">
      <c r="A290" s="313"/>
      <c r="B290" s="314" t="s">
        <v>323</v>
      </c>
      <c r="C290" s="259"/>
      <c r="D290" s="140">
        <v>0.8</v>
      </c>
      <c r="E290" s="140">
        <v>0.2</v>
      </c>
      <c r="F290" s="140">
        <v>0.8</v>
      </c>
      <c r="G290" s="41">
        <v>2</v>
      </c>
      <c r="H290" s="41">
        <f>ROUND(G290*F290*E290*D290,2)</f>
        <v>0.26</v>
      </c>
    </row>
    <row r="291" spans="1:8" ht="12.75">
      <c r="A291" s="313"/>
      <c r="B291" s="314" t="s">
        <v>327</v>
      </c>
      <c r="C291" s="259"/>
      <c r="D291" s="140">
        <v>0.6</v>
      </c>
      <c r="E291" s="140">
        <f>2.5+0.4</f>
        <v>2.9</v>
      </c>
      <c r="F291" s="140">
        <v>0.2</v>
      </c>
      <c r="G291" s="41">
        <v>2</v>
      </c>
      <c r="H291" s="41">
        <f>ROUND(G291*F291*E291*D291,2)</f>
        <v>0.7</v>
      </c>
    </row>
    <row r="292" spans="1:8" ht="12.75">
      <c r="A292" s="313"/>
      <c r="B292" s="314"/>
      <c r="C292" s="259"/>
      <c r="D292" s="140"/>
      <c r="E292" s="140"/>
      <c r="F292" s="140"/>
      <c r="G292" s="46" t="s">
        <v>3</v>
      </c>
      <c r="H292" s="46">
        <f>SUM(H290:H291)</f>
        <v>0.96</v>
      </c>
    </row>
    <row r="293" spans="1:8" ht="12.75">
      <c r="A293" s="313"/>
      <c r="B293" s="314"/>
      <c r="C293" s="259"/>
      <c r="D293" s="140"/>
      <c r="E293" s="140"/>
      <c r="F293" s="140"/>
      <c r="G293" s="41"/>
      <c r="H293" s="41"/>
    </row>
    <row r="294" spans="1:8" ht="12.75">
      <c r="A294" s="260" t="s">
        <v>300</v>
      </c>
      <c r="B294" s="6" t="s">
        <v>143</v>
      </c>
      <c r="C294" s="5" t="s">
        <v>30</v>
      </c>
      <c r="D294" s="140"/>
      <c r="E294" s="140"/>
      <c r="F294" s="140"/>
      <c r="G294" s="41"/>
      <c r="H294" s="41"/>
    </row>
    <row r="295" spans="1:8" ht="12.75">
      <c r="A295" s="313"/>
      <c r="B295" s="314" t="s">
        <v>324</v>
      </c>
      <c r="C295" s="259"/>
      <c r="D295" s="140"/>
      <c r="E295" s="140"/>
      <c r="F295" s="140"/>
      <c r="G295" s="41"/>
      <c r="H295" s="41">
        <f>H282</f>
        <v>0.77</v>
      </c>
    </row>
    <row r="296" spans="1:8" ht="12.75">
      <c r="A296" s="313"/>
      <c r="B296" s="315" t="s">
        <v>146</v>
      </c>
      <c r="C296" s="316">
        <f>H286</f>
        <v>1.28</v>
      </c>
      <c r="D296" s="317"/>
      <c r="E296" s="317">
        <v>0.05</v>
      </c>
      <c r="F296" s="317"/>
      <c r="G296" s="48">
        <v>-1</v>
      </c>
      <c r="H296" s="48">
        <f>ROUND(G296*E296*C296,2)</f>
        <v>-0.06</v>
      </c>
    </row>
    <row r="297" spans="1:8" ht="12.75">
      <c r="A297" s="313"/>
      <c r="B297" s="315" t="s">
        <v>325</v>
      </c>
      <c r="C297" s="316">
        <f>H290</f>
        <v>0.26</v>
      </c>
      <c r="D297" s="317"/>
      <c r="E297" s="317"/>
      <c r="F297" s="317"/>
      <c r="G297" s="48">
        <v>-1</v>
      </c>
      <c r="H297" s="48">
        <f>ROUND(G297*C297,2)</f>
        <v>-0.26</v>
      </c>
    </row>
    <row r="298" spans="1:8" ht="12.75">
      <c r="A298" s="313"/>
      <c r="B298" s="314"/>
      <c r="C298" s="259"/>
      <c r="D298" s="140"/>
      <c r="E298" s="140"/>
      <c r="F298" s="140"/>
      <c r="G298" s="46" t="s">
        <v>3</v>
      </c>
      <c r="H298" s="46">
        <f>SUM(H295:H297)</f>
        <v>0.44999999999999996</v>
      </c>
    </row>
    <row r="299" spans="1:8" ht="12.75">
      <c r="A299" s="313"/>
      <c r="B299" s="314"/>
      <c r="C299" s="259"/>
      <c r="D299" s="140"/>
      <c r="E299" s="140"/>
      <c r="F299" s="140"/>
      <c r="G299" s="41"/>
      <c r="H299" s="41"/>
    </row>
    <row r="300" spans="1:8" ht="25.5">
      <c r="A300" s="260" t="s">
        <v>301</v>
      </c>
      <c r="B300" s="6" t="s">
        <v>459</v>
      </c>
      <c r="C300" s="167" t="s">
        <v>103</v>
      </c>
      <c r="D300" s="121"/>
      <c r="E300" s="140"/>
      <c r="F300" s="140"/>
      <c r="G300" s="41"/>
      <c r="H300" s="41"/>
    </row>
    <row r="301" spans="1:8" ht="12.75">
      <c r="A301" s="313"/>
      <c r="B301" s="314" t="s">
        <v>461</v>
      </c>
      <c r="C301" s="259"/>
      <c r="D301" s="140">
        <v>3.6</v>
      </c>
      <c r="E301" s="140"/>
      <c r="F301" s="140"/>
      <c r="G301" s="41">
        <v>4</v>
      </c>
      <c r="H301" s="41">
        <f>ROUND(G301*D301,2)</f>
        <v>14.4</v>
      </c>
    </row>
    <row r="302" spans="1:8" ht="12.75">
      <c r="A302" s="313"/>
      <c r="B302" s="314"/>
      <c r="C302" s="259"/>
      <c r="D302" s="140"/>
      <c r="E302" s="140"/>
      <c r="F302" s="140"/>
      <c r="G302" s="46" t="s">
        <v>3</v>
      </c>
      <c r="H302" s="46">
        <f>H301</f>
        <v>14.4</v>
      </c>
    </row>
    <row r="303" spans="1:8" ht="12.75">
      <c r="A303" s="313"/>
      <c r="B303" s="314"/>
      <c r="C303" s="259"/>
      <c r="D303" s="140"/>
      <c r="E303" s="140"/>
      <c r="F303" s="140"/>
      <c r="G303" s="41"/>
      <c r="H303" s="41"/>
    </row>
    <row r="304" spans="1:8" ht="25.5">
      <c r="A304" s="260" t="s">
        <v>304</v>
      </c>
      <c r="B304" s="6" t="s">
        <v>462</v>
      </c>
      <c r="C304" s="5" t="s">
        <v>35</v>
      </c>
      <c r="D304" s="140"/>
      <c r="E304" s="140"/>
      <c r="F304" s="140"/>
      <c r="G304" s="41"/>
      <c r="H304" s="41"/>
    </row>
    <row r="305" spans="1:8" ht="12.75">
      <c r="A305" s="313"/>
      <c r="B305" s="314" t="s">
        <v>464</v>
      </c>
      <c r="C305" s="259"/>
      <c r="D305" s="140"/>
      <c r="E305" s="140"/>
      <c r="F305" s="140"/>
      <c r="G305" s="41"/>
      <c r="H305" s="41">
        <v>8</v>
      </c>
    </row>
    <row r="306" spans="1:8" ht="12.75">
      <c r="A306" s="313"/>
      <c r="B306" s="314"/>
      <c r="C306" s="259"/>
      <c r="D306" s="140"/>
      <c r="E306" s="140"/>
      <c r="F306" s="140"/>
      <c r="G306" s="46" t="s">
        <v>3</v>
      </c>
      <c r="H306" s="46">
        <f>H305</f>
        <v>8</v>
      </c>
    </row>
    <row r="307" spans="1:8" ht="12.75">
      <c r="A307" s="313"/>
      <c r="B307" s="314"/>
      <c r="C307" s="259"/>
      <c r="D307" s="140"/>
      <c r="E307" s="140"/>
      <c r="F307" s="140"/>
      <c r="G307" s="41"/>
      <c r="H307" s="41"/>
    </row>
    <row r="308" spans="1:8" ht="38.25">
      <c r="A308" s="260" t="s">
        <v>305</v>
      </c>
      <c r="B308" s="265" t="s">
        <v>104</v>
      </c>
      <c r="C308" s="155" t="s">
        <v>29</v>
      </c>
      <c r="D308" s="140"/>
      <c r="E308" s="140"/>
      <c r="F308" s="140"/>
      <c r="G308" s="41"/>
      <c r="H308" s="41"/>
    </row>
    <row r="309" spans="1:8" ht="12.75">
      <c r="A309" s="313"/>
      <c r="B309" s="314" t="s">
        <v>327</v>
      </c>
      <c r="C309" s="259"/>
      <c r="D309" s="140">
        <f>0.6+0.6+0.2+0.2</f>
        <v>1.5999999999999999</v>
      </c>
      <c r="E309" s="140">
        <v>2.5</v>
      </c>
      <c r="F309" s="140"/>
      <c r="G309" s="41">
        <v>2</v>
      </c>
      <c r="H309" s="41">
        <f>ROUND(G309*E309*D309,2)</f>
        <v>8</v>
      </c>
    </row>
    <row r="310" spans="1:8" ht="12.75">
      <c r="A310" s="313"/>
      <c r="B310" s="314"/>
      <c r="C310" s="259"/>
      <c r="D310" s="140"/>
      <c r="E310" s="140"/>
      <c r="F310" s="140"/>
      <c r="G310" s="46" t="s">
        <v>3</v>
      </c>
      <c r="H310" s="46">
        <f>SUM(H309:H309)</f>
        <v>8</v>
      </c>
    </row>
    <row r="311" spans="1:8" ht="12.75">
      <c r="A311" s="313"/>
      <c r="B311" s="314"/>
      <c r="C311" s="259"/>
      <c r="D311" s="140"/>
      <c r="E311" s="140"/>
      <c r="F311" s="140"/>
      <c r="G311" s="41"/>
      <c r="H311" s="41"/>
    </row>
    <row r="312" spans="1:8" ht="51">
      <c r="A312" s="260" t="s">
        <v>306</v>
      </c>
      <c r="B312" s="265" t="s">
        <v>307</v>
      </c>
      <c r="C312" s="155" t="s">
        <v>29</v>
      </c>
      <c r="D312" s="140"/>
      <c r="E312" s="140"/>
      <c r="F312" s="140"/>
      <c r="G312" s="41"/>
      <c r="H312" s="41"/>
    </row>
    <row r="313" spans="1:8" ht="12.75">
      <c r="A313" s="313"/>
      <c r="B313" s="314" t="s">
        <v>327</v>
      </c>
      <c r="C313" s="259"/>
      <c r="D313" s="140">
        <f>0.6+0.6+0.2+0.2</f>
        <v>1.5999999999999999</v>
      </c>
      <c r="E313" s="140">
        <v>2.5</v>
      </c>
      <c r="F313" s="140"/>
      <c r="G313" s="41">
        <v>2</v>
      </c>
      <c r="H313" s="41">
        <f>ROUND(G313*E313*D313,2)</f>
        <v>8</v>
      </c>
    </row>
    <row r="314" spans="1:8" ht="12.75">
      <c r="A314" s="313"/>
      <c r="B314" s="314"/>
      <c r="C314" s="259"/>
      <c r="D314" s="140"/>
      <c r="E314" s="140"/>
      <c r="F314" s="140"/>
      <c r="G314" s="46" t="s">
        <v>3</v>
      </c>
      <c r="H314" s="46">
        <f>SUM(H313:H313)</f>
        <v>8</v>
      </c>
    </row>
    <row r="315" spans="1:8" ht="12.75">
      <c r="A315" s="313"/>
      <c r="B315" s="314"/>
      <c r="C315" s="259"/>
      <c r="D315" s="140"/>
      <c r="E315" s="140"/>
      <c r="F315" s="140"/>
      <c r="G315" s="41"/>
      <c r="H315" s="41"/>
    </row>
    <row r="316" spans="1:8" ht="12.75">
      <c r="A316" s="260" t="s">
        <v>308</v>
      </c>
      <c r="B316" s="248" t="s">
        <v>465</v>
      </c>
      <c r="C316" s="5" t="s">
        <v>29</v>
      </c>
      <c r="D316" s="140"/>
      <c r="E316" s="140"/>
      <c r="F316" s="140"/>
      <c r="G316" s="41"/>
      <c r="H316" s="41"/>
    </row>
    <row r="317" spans="1:8" ht="12.75">
      <c r="A317" s="313"/>
      <c r="B317" s="314" t="s">
        <v>480</v>
      </c>
      <c r="C317" s="259"/>
      <c r="D317" s="140">
        <f>1.5+0.5+0.5</f>
        <v>2.5</v>
      </c>
      <c r="E317" s="140"/>
      <c r="F317" s="140">
        <v>0.45</v>
      </c>
      <c r="G317" s="41">
        <v>2</v>
      </c>
      <c r="H317" s="41">
        <f>ROUND(F317*D317*G317,2)</f>
        <v>2.25</v>
      </c>
    </row>
    <row r="318" spans="1:8" ht="12.75">
      <c r="A318" s="313"/>
      <c r="B318" s="314"/>
      <c r="C318" s="259"/>
      <c r="D318" s="140"/>
      <c r="E318" s="140"/>
      <c r="F318" s="140"/>
      <c r="G318" s="46" t="s">
        <v>3</v>
      </c>
      <c r="H318" s="46">
        <f>H317</f>
        <v>2.25</v>
      </c>
    </row>
    <row r="319" spans="1:8" ht="12.75">
      <c r="A319" s="313"/>
      <c r="B319" s="314"/>
      <c r="C319" s="259"/>
      <c r="D319" s="140"/>
      <c r="E319" s="140"/>
      <c r="F319" s="140"/>
      <c r="G319" s="41"/>
      <c r="H319" s="41"/>
    </row>
    <row r="320" spans="1:8" ht="12.75">
      <c r="A320" s="260" t="s">
        <v>309</v>
      </c>
      <c r="B320" s="6" t="s">
        <v>311</v>
      </c>
      <c r="C320" s="5" t="s">
        <v>29</v>
      </c>
      <c r="D320" s="140"/>
      <c r="E320" s="140"/>
      <c r="F320" s="140"/>
      <c r="G320" s="41"/>
      <c r="H320" s="41"/>
    </row>
    <row r="321" spans="1:8" ht="12.75">
      <c r="A321" s="313"/>
      <c r="B321" s="314" t="s">
        <v>461</v>
      </c>
      <c r="C321" s="259"/>
      <c r="D321" s="140">
        <f>0.06+0.06+0.2+0.2</f>
        <v>0.52</v>
      </c>
      <c r="E321" s="140">
        <v>3.6</v>
      </c>
      <c r="F321" s="140"/>
      <c r="G321" s="41">
        <v>4</v>
      </c>
      <c r="H321" s="41">
        <f>ROUND(D321+E321+G321,2)</f>
        <v>8.12</v>
      </c>
    </row>
    <row r="322" spans="1:8" ht="12.75">
      <c r="A322" s="313"/>
      <c r="B322" s="166" t="s">
        <v>485</v>
      </c>
      <c r="C322" s="259"/>
      <c r="D322" s="140">
        <v>5</v>
      </c>
      <c r="E322" s="140"/>
      <c r="F322" s="140">
        <v>3</v>
      </c>
      <c r="G322" s="41"/>
      <c r="H322" s="41">
        <f>ROUND(F322*D322,2)</f>
        <v>15</v>
      </c>
    </row>
    <row r="323" spans="1:8" ht="12.75">
      <c r="A323" s="313"/>
      <c r="B323" s="314"/>
      <c r="C323" s="259"/>
      <c r="D323" s="140"/>
      <c r="E323" s="140"/>
      <c r="F323" s="140"/>
      <c r="G323" s="46" t="s">
        <v>3</v>
      </c>
      <c r="H323" s="46">
        <f>SUM(H321:H322)</f>
        <v>23.119999999999997</v>
      </c>
    </row>
    <row r="324" spans="1:8" ht="12.75">
      <c r="A324" s="313"/>
      <c r="B324" s="314"/>
      <c r="C324" s="259"/>
      <c r="D324" s="140"/>
      <c r="E324" s="140"/>
      <c r="F324" s="140"/>
      <c r="G324" s="41"/>
      <c r="H324" s="41"/>
    </row>
    <row r="325" spans="1:8" ht="12.75">
      <c r="A325" s="266" t="s">
        <v>111</v>
      </c>
      <c r="B325" s="267" t="s">
        <v>313</v>
      </c>
      <c r="C325" s="264"/>
      <c r="D325" s="140"/>
      <c r="E325" s="140"/>
      <c r="F325" s="140"/>
      <c r="G325" s="41"/>
      <c r="H325" s="41"/>
    </row>
    <row r="326" spans="1:8" ht="38.25">
      <c r="A326" s="260" t="s">
        <v>314</v>
      </c>
      <c r="B326" s="6" t="s">
        <v>481</v>
      </c>
      <c r="C326" s="5" t="s">
        <v>29</v>
      </c>
      <c r="D326" s="140"/>
      <c r="E326" s="140"/>
      <c r="F326" s="140"/>
      <c r="G326" s="41"/>
      <c r="H326" s="41"/>
    </row>
    <row r="327" spans="1:8" ht="12.75">
      <c r="A327" s="313"/>
      <c r="B327" s="166" t="s">
        <v>485</v>
      </c>
      <c r="C327" s="259"/>
      <c r="D327" s="140">
        <v>5</v>
      </c>
      <c r="E327" s="140"/>
      <c r="F327" s="140">
        <v>3</v>
      </c>
      <c r="G327" s="41"/>
      <c r="H327" s="41">
        <f>ROUND(F327*D327,2)</f>
        <v>15</v>
      </c>
    </row>
    <row r="328" spans="1:8" ht="12.75">
      <c r="A328" s="313"/>
      <c r="B328" s="314"/>
      <c r="C328" s="259"/>
      <c r="D328" s="140"/>
      <c r="E328" s="140"/>
      <c r="F328" s="140"/>
      <c r="G328" s="46" t="s">
        <v>3</v>
      </c>
      <c r="H328" s="46">
        <f>H327</f>
        <v>15</v>
      </c>
    </row>
    <row r="329" spans="1:8" ht="12.75">
      <c r="A329" s="313"/>
      <c r="B329" s="314"/>
      <c r="C329" s="259"/>
      <c r="D329" s="140"/>
      <c r="E329" s="140"/>
      <c r="F329" s="140"/>
      <c r="G329" s="41"/>
      <c r="H329" s="41"/>
    </row>
    <row r="330" spans="1:8" ht="25.5">
      <c r="A330" s="260" t="s">
        <v>176</v>
      </c>
      <c r="B330" s="6" t="s">
        <v>483</v>
      </c>
      <c r="C330" s="5" t="s">
        <v>29</v>
      </c>
      <c r="D330" s="140"/>
      <c r="E330" s="140"/>
      <c r="F330" s="140"/>
      <c r="G330" s="41"/>
      <c r="H330" s="41"/>
    </row>
    <row r="331" spans="1:8" ht="12.75">
      <c r="A331" s="313"/>
      <c r="B331" s="166" t="s">
        <v>485</v>
      </c>
      <c r="C331" s="259"/>
      <c r="D331" s="140">
        <v>5</v>
      </c>
      <c r="E331" s="140"/>
      <c r="F331" s="140">
        <v>3</v>
      </c>
      <c r="G331" s="41"/>
      <c r="H331" s="41">
        <f>ROUND(F331*D331,2)</f>
        <v>15</v>
      </c>
    </row>
    <row r="332" spans="1:8" ht="12.75">
      <c r="A332" s="313"/>
      <c r="B332" s="314"/>
      <c r="C332" s="259"/>
      <c r="D332" s="140"/>
      <c r="E332" s="140"/>
      <c r="F332" s="140"/>
      <c r="G332" s="46" t="s">
        <v>3</v>
      </c>
      <c r="H332" s="46">
        <f>H331</f>
        <v>15</v>
      </c>
    </row>
    <row r="333" spans="1:8" ht="12.75">
      <c r="A333" s="313"/>
      <c r="B333" s="314"/>
      <c r="C333" s="259"/>
      <c r="D333" s="140"/>
      <c r="E333" s="140"/>
      <c r="F333" s="140"/>
      <c r="G333" s="41"/>
      <c r="H333" s="41"/>
    </row>
    <row r="334" spans="1:8" ht="12.75">
      <c r="A334" s="266" t="s">
        <v>316</v>
      </c>
      <c r="B334" s="267" t="s">
        <v>317</v>
      </c>
      <c r="C334" s="264"/>
      <c r="D334" s="140"/>
      <c r="E334" s="140"/>
      <c r="F334" s="140"/>
      <c r="G334" s="41"/>
      <c r="H334" s="41"/>
    </row>
    <row r="335" spans="1:8" ht="25.5">
      <c r="A335" s="260" t="s">
        <v>318</v>
      </c>
      <c r="B335" s="265" t="s">
        <v>319</v>
      </c>
      <c r="C335" s="155" t="s">
        <v>29</v>
      </c>
      <c r="D335" s="140"/>
      <c r="E335" s="140"/>
      <c r="F335" s="140"/>
      <c r="G335" s="41"/>
      <c r="H335" s="41"/>
    </row>
    <row r="336" spans="1:8" ht="12.75">
      <c r="A336" s="313"/>
      <c r="B336" s="314" t="s">
        <v>327</v>
      </c>
      <c r="C336" s="259"/>
      <c r="D336" s="140">
        <f>0.6+0.6+0.2+0.2</f>
        <v>1.5999999999999999</v>
      </c>
      <c r="E336" s="140">
        <v>2.5</v>
      </c>
      <c r="F336" s="140"/>
      <c r="G336" s="41">
        <v>2</v>
      </c>
      <c r="H336" s="41">
        <f>ROUND(G336*E336*D336,2)</f>
        <v>8</v>
      </c>
    </row>
    <row r="337" spans="1:8" ht="12.75">
      <c r="A337" s="313"/>
      <c r="B337" s="314" t="s">
        <v>480</v>
      </c>
      <c r="C337" s="259"/>
      <c r="D337" s="140">
        <f>1.5+0.5+0.5</f>
        <v>2.5</v>
      </c>
      <c r="E337" s="140"/>
      <c r="F337" s="140">
        <v>0.45</v>
      </c>
      <c r="G337" s="41">
        <v>2</v>
      </c>
      <c r="H337" s="41">
        <f>ROUND(G337*F337*D337,2)</f>
        <v>2.25</v>
      </c>
    </row>
    <row r="338" spans="1:8" ht="12.75">
      <c r="A338" s="313"/>
      <c r="B338" s="314"/>
      <c r="C338" s="259"/>
      <c r="D338" s="140"/>
      <c r="E338" s="140"/>
      <c r="F338" s="140"/>
      <c r="G338" s="46" t="s">
        <v>3</v>
      </c>
      <c r="H338" s="46">
        <f>SUM(H336:H337)</f>
        <v>10.25</v>
      </c>
    </row>
    <row r="339" spans="1:8" ht="12.75">
      <c r="A339" s="313"/>
      <c r="B339" s="314"/>
      <c r="C339" s="259"/>
      <c r="D339" s="140"/>
      <c r="E339" s="140"/>
      <c r="F339" s="140"/>
      <c r="G339" s="41"/>
      <c r="H339" s="41"/>
    </row>
    <row r="340" spans="1:8" ht="25.5">
      <c r="A340" s="260" t="s">
        <v>320</v>
      </c>
      <c r="B340" s="6" t="s">
        <v>147</v>
      </c>
      <c r="C340" s="5" t="s">
        <v>29</v>
      </c>
      <c r="D340" s="140"/>
      <c r="E340" s="140"/>
      <c r="F340" s="140"/>
      <c r="G340" s="41"/>
      <c r="H340" s="41"/>
    </row>
    <row r="341" spans="1:8" ht="12.75">
      <c r="A341" s="313"/>
      <c r="B341" s="314" t="s">
        <v>486</v>
      </c>
      <c r="C341" s="259"/>
      <c r="D341" s="140">
        <v>5</v>
      </c>
      <c r="E341" s="140"/>
      <c r="F341" s="140">
        <v>3</v>
      </c>
      <c r="G341" s="41">
        <v>1</v>
      </c>
      <c r="H341" s="41">
        <f>ROUND(G341*F341*D341,2)</f>
        <v>15</v>
      </c>
    </row>
    <row r="342" spans="1:8" ht="12.75">
      <c r="A342" s="313"/>
      <c r="B342" s="314" t="s">
        <v>461</v>
      </c>
      <c r="C342" s="259"/>
      <c r="D342" s="140">
        <f>0.06+0.06+0.2+0.2</f>
        <v>0.52</v>
      </c>
      <c r="E342" s="140">
        <v>3.6</v>
      </c>
      <c r="F342" s="140"/>
      <c r="G342" s="41">
        <v>4</v>
      </c>
      <c r="H342" s="41">
        <f>ROUND(D342+E342+G342,2)</f>
        <v>8.12</v>
      </c>
    </row>
    <row r="343" spans="1:8" ht="12.75">
      <c r="A343" s="313"/>
      <c r="B343" s="314"/>
      <c r="C343" s="259"/>
      <c r="D343" s="140"/>
      <c r="E343" s="140"/>
      <c r="F343" s="140"/>
      <c r="G343" s="46" t="s">
        <v>3</v>
      </c>
      <c r="H343" s="46">
        <f>SUM(H341:H342)</f>
        <v>23.119999999999997</v>
      </c>
    </row>
    <row r="344" spans="1:8" ht="12.75">
      <c r="A344" s="269"/>
      <c r="B344" s="43"/>
      <c r="C344" s="41"/>
      <c r="D344" s="41"/>
      <c r="E344" s="41"/>
      <c r="F344" s="41"/>
      <c r="G344" s="46"/>
      <c r="H344" s="46"/>
    </row>
    <row r="345" spans="1:8" ht="12.75">
      <c r="A345" s="7" t="s">
        <v>27</v>
      </c>
      <c r="B345" s="9" t="s">
        <v>492</v>
      </c>
      <c r="C345" s="146"/>
      <c r="D345" s="146"/>
      <c r="E345" s="146"/>
      <c r="F345" s="146"/>
      <c r="G345" s="146"/>
      <c r="H345" s="146"/>
    </row>
    <row r="346" spans="1:8" ht="12.75">
      <c r="A346" s="7" t="s">
        <v>28</v>
      </c>
      <c r="B346" s="9" t="s">
        <v>351</v>
      </c>
      <c r="C346" s="60"/>
      <c r="D346" s="41"/>
      <c r="E346" s="41"/>
      <c r="F346" s="41"/>
      <c r="G346" s="41"/>
      <c r="H346" s="41"/>
    </row>
    <row r="347" spans="1:8" ht="25.5">
      <c r="A347" s="62" t="s">
        <v>177</v>
      </c>
      <c r="B347" s="61" t="s">
        <v>122</v>
      </c>
      <c r="C347" s="171" t="s">
        <v>30</v>
      </c>
      <c r="D347" s="41"/>
      <c r="E347" s="41"/>
      <c r="F347" s="41"/>
      <c r="G347" s="41"/>
      <c r="H347" s="41"/>
    </row>
    <row r="348" spans="1:8" ht="12.75">
      <c r="A348" s="41"/>
      <c r="B348" s="43" t="s">
        <v>352</v>
      </c>
      <c r="C348" s="41"/>
      <c r="D348" s="41">
        <v>3</v>
      </c>
      <c r="E348" s="41">
        <v>0.35</v>
      </c>
      <c r="F348" s="41">
        <v>2</v>
      </c>
      <c r="G348" s="41">
        <v>1</v>
      </c>
      <c r="H348" s="41">
        <f>ROUND(G348*F348*E348*D348,2)</f>
        <v>2.1</v>
      </c>
    </row>
    <row r="349" spans="1:8" ht="12.75">
      <c r="A349" s="111"/>
      <c r="B349" s="63"/>
      <c r="C349" s="45"/>
      <c r="D349" s="41"/>
      <c r="E349" s="41"/>
      <c r="F349" s="41"/>
      <c r="G349" s="46" t="s">
        <v>3</v>
      </c>
      <c r="H349" s="46">
        <f>SUM(H348:H348)</f>
        <v>2.1</v>
      </c>
    </row>
    <row r="350" spans="1:8" ht="12.75">
      <c r="A350" s="41"/>
      <c r="B350" s="43"/>
      <c r="C350" s="41"/>
      <c r="D350" s="41"/>
      <c r="E350" s="41"/>
      <c r="F350" s="41"/>
      <c r="G350" s="41"/>
      <c r="H350" s="41"/>
    </row>
    <row r="351" spans="1:8" ht="25.5">
      <c r="A351" s="62" t="s">
        <v>178</v>
      </c>
      <c r="B351" s="61" t="s">
        <v>126</v>
      </c>
      <c r="C351" s="111" t="s">
        <v>29</v>
      </c>
      <c r="D351" s="41"/>
      <c r="E351" s="41"/>
      <c r="F351" s="41"/>
      <c r="G351" s="41"/>
      <c r="H351" s="41"/>
    </row>
    <row r="352" spans="1:8" ht="12.75">
      <c r="A352" s="41"/>
      <c r="B352" s="43" t="s">
        <v>352</v>
      </c>
      <c r="C352" s="41"/>
      <c r="D352" s="41">
        <v>2.5</v>
      </c>
      <c r="E352" s="41"/>
      <c r="F352" s="41">
        <v>1.4</v>
      </c>
      <c r="G352" s="41">
        <v>1</v>
      </c>
      <c r="H352" s="41">
        <f>ROUND(G352*F352*D352,2)</f>
        <v>3.5</v>
      </c>
    </row>
    <row r="353" spans="1:8" ht="12.75">
      <c r="A353" s="41"/>
      <c r="B353" s="63"/>
      <c r="C353" s="45"/>
      <c r="D353" s="41"/>
      <c r="E353" s="41"/>
      <c r="F353" s="41"/>
      <c r="G353" s="46" t="s">
        <v>3</v>
      </c>
      <c r="H353" s="46">
        <f>SUM(H352:H352)</f>
        <v>3.5</v>
      </c>
    </row>
    <row r="354" spans="1:8" ht="12.75">
      <c r="A354" s="41"/>
      <c r="B354" s="43"/>
      <c r="C354" s="41"/>
      <c r="D354" s="41"/>
      <c r="E354" s="41"/>
      <c r="F354" s="41"/>
      <c r="G354" s="41"/>
      <c r="H354" s="41"/>
    </row>
    <row r="355" spans="1:8" ht="25.5">
      <c r="A355" s="62" t="s">
        <v>179</v>
      </c>
      <c r="B355" s="61" t="s">
        <v>133</v>
      </c>
      <c r="C355" s="111" t="s">
        <v>29</v>
      </c>
      <c r="D355" s="41"/>
      <c r="E355" s="41"/>
      <c r="F355" s="41"/>
      <c r="G355" s="41"/>
      <c r="H355" s="41"/>
    </row>
    <row r="356" spans="1:8" ht="12.75">
      <c r="A356" s="41"/>
      <c r="B356" s="43" t="s">
        <v>352</v>
      </c>
      <c r="C356" s="41"/>
      <c r="D356" s="41">
        <f>2.5+2.5+1.4+1.4</f>
        <v>7.800000000000001</v>
      </c>
      <c r="E356" s="41">
        <v>0.3</v>
      </c>
      <c r="F356" s="41"/>
      <c r="G356" s="41">
        <v>1</v>
      </c>
      <c r="H356" s="41">
        <f>ROUND(G356*E356*D356,2)</f>
        <v>2.34</v>
      </c>
    </row>
    <row r="357" spans="1:8" ht="12.75">
      <c r="A357" s="41"/>
      <c r="B357" s="43"/>
      <c r="C357" s="41"/>
      <c r="D357" s="41"/>
      <c r="E357" s="41"/>
      <c r="F357" s="41"/>
      <c r="G357" s="46" t="s">
        <v>3</v>
      </c>
      <c r="H357" s="46">
        <f>SUM(H356:H356)</f>
        <v>2.34</v>
      </c>
    </row>
    <row r="358" spans="1:8" ht="12.75">
      <c r="A358" s="41"/>
      <c r="B358" s="43"/>
      <c r="C358" s="41"/>
      <c r="D358" s="41"/>
      <c r="E358" s="41"/>
      <c r="F358" s="41"/>
      <c r="G358" s="41"/>
      <c r="H358" s="41"/>
    </row>
    <row r="359" spans="1:8" ht="38.25">
      <c r="A359" s="62" t="s">
        <v>180</v>
      </c>
      <c r="B359" s="6" t="s">
        <v>134</v>
      </c>
      <c r="C359" s="5" t="s">
        <v>29</v>
      </c>
      <c r="D359" s="41"/>
      <c r="E359" s="41"/>
      <c r="F359" s="41"/>
      <c r="G359" s="41"/>
      <c r="H359" s="41"/>
    </row>
    <row r="360" spans="1:8" ht="12.75">
      <c r="A360" s="41"/>
      <c r="B360" s="43" t="s">
        <v>353</v>
      </c>
      <c r="C360" s="41"/>
      <c r="D360" s="41">
        <v>1</v>
      </c>
      <c r="E360" s="41">
        <v>4.9</v>
      </c>
      <c r="F360" s="41"/>
      <c r="G360" s="41">
        <v>2</v>
      </c>
      <c r="H360" s="41">
        <f>ROUND(G360*E360*D360,2)</f>
        <v>9.8</v>
      </c>
    </row>
    <row r="361" spans="1:8" ht="12.75">
      <c r="A361" s="41"/>
      <c r="B361" s="43" t="s">
        <v>354</v>
      </c>
      <c r="C361" s="41"/>
      <c r="D361" s="41">
        <v>0.35</v>
      </c>
      <c r="E361" s="41">
        <v>4.9</v>
      </c>
      <c r="F361" s="41"/>
      <c r="G361" s="41">
        <v>2</v>
      </c>
      <c r="H361" s="41">
        <f>ROUND(G361*E361*D361,2)</f>
        <v>3.43</v>
      </c>
    </row>
    <row r="362" spans="1:8" ht="12.75">
      <c r="A362" s="41"/>
      <c r="B362" s="43"/>
      <c r="C362" s="41"/>
      <c r="D362" s="41"/>
      <c r="E362" s="41"/>
      <c r="F362" s="41"/>
      <c r="G362" s="46" t="s">
        <v>3</v>
      </c>
      <c r="H362" s="46">
        <f>SUM(H360:H361)</f>
        <v>13.23</v>
      </c>
    </row>
    <row r="363" spans="1:8" ht="12.75">
      <c r="A363" s="41"/>
      <c r="B363" s="43"/>
      <c r="C363" s="41"/>
      <c r="D363" s="41"/>
      <c r="E363" s="41"/>
      <c r="F363" s="41"/>
      <c r="G363" s="41"/>
      <c r="H363" s="41"/>
    </row>
    <row r="364" spans="1:8" ht="25.5">
      <c r="A364" s="64" t="s">
        <v>181</v>
      </c>
      <c r="B364" s="6" t="s">
        <v>328</v>
      </c>
      <c r="C364" s="5" t="s">
        <v>106</v>
      </c>
      <c r="D364" s="41"/>
      <c r="E364" s="41"/>
      <c r="F364" s="41"/>
      <c r="G364" s="41"/>
      <c r="H364" s="41"/>
    </row>
    <row r="365" spans="1:8" ht="12.75">
      <c r="A365" s="41"/>
      <c r="B365" s="43" t="s">
        <v>144</v>
      </c>
      <c r="C365" s="41"/>
      <c r="D365" s="41"/>
      <c r="E365" s="41"/>
      <c r="F365" s="41"/>
      <c r="G365" s="41"/>
      <c r="H365" s="41">
        <v>25</v>
      </c>
    </row>
    <row r="366" spans="1:8" ht="12.75">
      <c r="A366" s="41"/>
      <c r="B366" s="43"/>
      <c r="C366" s="41"/>
      <c r="D366" s="41"/>
      <c r="E366" s="41"/>
      <c r="F366" s="41"/>
      <c r="G366" s="46" t="s">
        <v>3</v>
      </c>
      <c r="H366" s="46">
        <f>SUM(H365:H365)</f>
        <v>25</v>
      </c>
    </row>
    <row r="367" spans="1:8" ht="12.75">
      <c r="A367" s="41"/>
      <c r="B367" s="43"/>
      <c r="C367" s="41"/>
      <c r="D367" s="41"/>
      <c r="E367" s="41"/>
      <c r="F367" s="41"/>
      <c r="G367" s="41"/>
      <c r="H367" s="41"/>
    </row>
    <row r="368" spans="1:8" ht="25.5">
      <c r="A368" s="62" t="s">
        <v>182</v>
      </c>
      <c r="B368" s="61" t="s">
        <v>137</v>
      </c>
      <c r="C368" s="111" t="s">
        <v>106</v>
      </c>
      <c r="D368" s="41"/>
      <c r="E368" s="41"/>
      <c r="F368" s="41"/>
      <c r="G368" s="41"/>
      <c r="H368" s="41"/>
    </row>
    <row r="369" spans="1:8" ht="12.75">
      <c r="A369" s="41"/>
      <c r="B369" s="43" t="s">
        <v>144</v>
      </c>
      <c r="C369" s="41"/>
      <c r="D369" s="41"/>
      <c r="E369" s="41"/>
      <c r="F369" s="41"/>
      <c r="G369" s="41"/>
      <c r="H369" s="41">
        <v>93</v>
      </c>
    </row>
    <row r="370" spans="1:8" ht="12.75">
      <c r="A370" s="41"/>
      <c r="B370" s="43"/>
      <c r="C370" s="41"/>
      <c r="D370" s="41"/>
      <c r="E370" s="41"/>
      <c r="F370" s="41"/>
      <c r="G370" s="46" t="s">
        <v>3</v>
      </c>
      <c r="H370" s="46">
        <f>SUM(H369:H369)</f>
        <v>93</v>
      </c>
    </row>
    <row r="371" spans="1:8" ht="12.75">
      <c r="A371" s="41"/>
      <c r="B371" s="43"/>
      <c r="C371" s="41"/>
      <c r="D371" s="41"/>
      <c r="E371" s="41"/>
      <c r="F371" s="41"/>
      <c r="G371" s="41"/>
      <c r="H371" s="41"/>
    </row>
    <row r="372" spans="1:8" ht="25.5">
      <c r="A372" s="62" t="s">
        <v>183</v>
      </c>
      <c r="B372" s="6" t="s">
        <v>135</v>
      </c>
      <c r="C372" s="5" t="s">
        <v>30</v>
      </c>
      <c r="D372" s="41"/>
      <c r="E372" s="41"/>
      <c r="F372" s="41"/>
      <c r="G372" s="41"/>
      <c r="H372" s="41"/>
    </row>
    <row r="373" spans="1:8" ht="12.75">
      <c r="A373" s="41"/>
      <c r="B373" s="43" t="s">
        <v>352</v>
      </c>
      <c r="C373" s="41"/>
      <c r="D373" s="41">
        <v>2.5</v>
      </c>
      <c r="E373" s="41">
        <v>0.3</v>
      </c>
      <c r="F373" s="41">
        <v>1.4</v>
      </c>
      <c r="G373" s="41">
        <v>1</v>
      </c>
      <c r="H373" s="41">
        <f>ROUND(G373*F373*E373*D373,2)</f>
        <v>1.05</v>
      </c>
    </row>
    <row r="374" spans="1:8" ht="12.75">
      <c r="A374" s="41"/>
      <c r="B374" s="43" t="s">
        <v>356</v>
      </c>
      <c r="C374" s="41"/>
      <c r="D374" s="41">
        <v>2.3</v>
      </c>
      <c r="E374" s="41">
        <v>0.1</v>
      </c>
      <c r="F374" s="41">
        <v>1.2</v>
      </c>
      <c r="G374" s="41">
        <v>1</v>
      </c>
      <c r="H374" s="41">
        <f>ROUND(G374*F374*E374*D374,2)</f>
        <v>0.28</v>
      </c>
    </row>
    <row r="375" spans="1:8" ht="12.75">
      <c r="A375" s="41"/>
      <c r="B375" s="43" t="s">
        <v>355</v>
      </c>
      <c r="C375" s="41"/>
      <c r="D375" s="41">
        <v>1</v>
      </c>
      <c r="E375" s="41">
        <v>4.9</v>
      </c>
      <c r="F375" s="41">
        <v>0.35</v>
      </c>
      <c r="G375" s="41">
        <v>1</v>
      </c>
      <c r="H375" s="41">
        <f>ROUND(G375*F375*E375*D375,2)</f>
        <v>1.72</v>
      </c>
    </row>
    <row r="376" spans="1:8" ht="12.75">
      <c r="A376" s="41"/>
      <c r="B376" s="43"/>
      <c r="C376" s="41"/>
      <c r="D376" s="41"/>
      <c r="E376" s="41"/>
      <c r="F376" s="41"/>
      <c r="G376" s="46" t="s">
        <v>3</v>
      </c>
      <c r="H376" s="46">
        <f>SUM(H373:H375)</f>
        <v>3.05</v>
      </c>
    </row>
    <row r="377" spans="1:8" ht="12.75">
      <c r="A377" s="41"/>
      <c r="B377" s="43"/>
      <c r="C377" s="41"/>
      <c r="D377" s="41"/>
      <c r="E377" s="41"/>
      <c r="F377" s="41"/>
      <c r="G377" s="41"/>
      <c r="H377" s="41"/>
    </row>
    <row r="378" spans="1:8" ht="25.5">
      <c r="A378" s="62" t="s">
        <v>184</v>
      </c>
      <c r="B378" s="6" t="s">
        <v>136</v>
      </c>
      <c r="C378" s="5" t="s">
        <v>30</v>
      </c>
      <c r="D378" s="41"/>
      <c r="E378" s="41"/>
      <c r="F378" s="41"/>
      <c r="G378" s="41"/>
      <c r="H378" s="41"/>
    </row>
    <row r="379" spans="1:8" ht="12.75">
      <c r="A379" s="41"/>
      <c r="B379" s="43" t="s">
        <v>352</v>
      </c>
      <c r="C379" s="41"/>
      <c r="D379" s="41">
        <v>2.5</v>
      </c>
      <c r="E379" s="41">
        <v>0.3</v>
      </c>
      <c r="F379" s="41">
        <v>1.4</v>
      </c>
      <c r="G379" s="41">
        <v>1</v>
      </c>
      <c r="H379" s="41">
        <f>ROUND(G379*F379*E379*D379,2)</f>
        <v>1.05</v>
      </c>
    </row>
    <row r="380" spans="1:8" ht="12.75">
      <c r="A380" s="41"/>
      <c r="B380" s="43" t="s">
        <v>356</v>
      </c>
      <c r="C380" s="41"/>
      <c r="D380" s="41">
        <v>2.3</v>
      </c>
      <c r="E380" s="41">
        <v>0.1</v>
      </c>
      <c r="F380" s="41">
        <v>1.2</v>
      </c>
      <c r="G380" s="41">
        <v>1</v>
      </c>
      <c r="H380" s="41">
        <f>ROUND(G380*F380*E380*D380,2)</f>
        <v>0.28</v>
      </c>
    </row>
    <row r="381" spans="1:8" ht="12.75">
      <c r="A381" s="41"/>
      <c r="B381" s="43" t="s">
        <v>355</v>
      </c>
      <c r="C381" s="41"/>
      <c r="D381" s="41">
        <v>1</v>
      </c>
      <c r="E381" s="41">
        <v>4.9</v>
      </c>
      <c r="F381" s="41">
        <v>0.35</v>
      </c>
      <c r="G381" s="41">
        <v>1</v>
      </c>
      <c r="H381" s="41">
        <f>ROUND(G381*F381*E381*D381,2)</f>
        <v>1.72</v>
      </c>
    </row>
    <row r="382" spans="1:8" ht="12.75">
      <c r="A382" s="41"/>
      <c r="B382" s="43"/>
      <c r="C382" s="41"/>
      <c r="D382" s="41"/>
      <c r="E382" s="41"/>
      <c r="F382" s="41"/>
      <c r="G382" s="46" t="s">
        <v>3</v>
      </c>
      <c r="H382" s="46">
        <f>SUM(H379:H381)</f>
        <v>3.05</v>
      </c>
    </row>
    <row r="383" spans="1:8" ht="12.75">
      <c r="A383" s="41"/>
      <c r="B383" s="43"/>
      <c r="C383" s="41"/>
      <c r="D383" s="41"/>
      <c r="E383" s="41"/>
      <c r="F383" s="41"/>
      <c r="G383" s="41"/>
      <c r="H383" s="41"/>
    </row>
    <row r="384" spans="1:8" ht="12.75">
      <c r="A384" s="62" t="s">
        <v>185</v>
      </c>
      <c r="B384" s="6" t="s">
        <v>143</v>
      </c>
      <c r="C384" s="5" t="s">
        <v>30</v>
      </c>
      <c r="D384" s="41"/>
      <c r="E384" s="41"/>
      <c r="F384" s="41"/>
      <c r="G384" s="41"/>
      <c r="H384" s="41"/>
    </row>
    <row r="385" spans="1:8" ht="12.75">
      <c r="A385" s="41"/>
      <c r="B385" s="43" t="s">
        <v>357</v>
      </c>
      <c r="C385" s="41"/>
      <c r="D385" s="41">
        <v>3</v>
      </c>
      <c r="E385" s="41">
        <v>0.3</v>
      </c>
      <c r="F385" s="41">
        <v>2</v>
      </c>
      <c r="G385" s="41">
        <v>1</v>
      </c>
      <c r="H385" s="41">
        <f>ROUND(G385*F385*E385*D385,2)</f>
        <v>1.8</v>
      </c>
    </row>
    <row r="386" spans="1:8" ht="12.75">
      <c r="A386" s="41"/>
      <c r="B386" s="47" t="s">
        <v>358</v>
      </c>
      <c r="C386" s="48"/>
      <c r="D386" s="48">
        <v>2.5</v>
      </c>
      <c r="E386" s="48">
        <v>0.3</v>
      </c>
      <c r="F386" s="48">
        <v>1.4</v>
      </c>
      <c r="G386" s="48">
        <v>-1</v>
      </c>
      <c r="H386" s="48">
        <f>ROUND(G386*F386*E386*D386,2)</f>
        <v>-1.05</v>
      </c>
    </row>
    <row r="387" spans="1:8" ht="12.75">
      <c r="A387" s="41"/>
      <c r="B387" s="43"/>
      <c r="C387" s="41"/>
      <c r="D387" s="41"/>
      <c r="E387" s="41"/>
      <c r="F387" s="41"/>
      <c r="G387" s="46" t="s">
        <v>3</v>
      </c>
      <c r="H387" s="46">
        <f>SUM(H385:H386)</f>
        <v>0.75</v>
      </c>
    </row>
    <row r="388" spans="1:8" ht="12.75">
      <c r="A388" s="41"/>
      <c r="B388" s="43"/>
      <c r="C388" s="41"/>
      <c r="D388" s="41"/>
      <c r="E388" s="41"/>
      <c r="F388" s="41"/>
      <c r="G388" s="41"/>
      <c r="H388" s="41"/>
    </row>
    <row r="389" spans="1:8" ht="12.75">
      <c r="A389" s="7" t="s">
        <v>34</v>
      </c>
      <c r="B389" s="9" t="s">
        <v>149</v>
      </c>
      <c r="C389" s="60"/>
      <c r="D389" s="41"/>
      <c r="E389" s="41"/>
      <c r="F389" s="41"/>
      <c r="G389" s="41"/>
      <c r="H389" s="41"/>
    </row>
    <row r="390" spans="1:8" ht="38.25">
      <c r="A390" s="64" t="s">
        <v>186</v>
      </c>
      <c r="B390" s="65" t="s">
        <v>104</v>
      </c>
      <c r="C390" s="171" t="s">
        <v>29</v>
      </c>
      <c r="D390" s="41"/>
      <c r="E390" s="41"/>
      <c r="F390" s="41"/>
      <c r="G390" s="41"/>
      <c r="H390" s="41"/>
    </row>
    <row r="391" spans="1:8" ht="12.75">
      <c r="A391" s="41"/>
      <c r="B391" s="43" t="s">
        <v>353</v>
      </c>
      <c r="C391" s="41"/>
      <c r="D391" s="41">
        <v>1</v>
      </c>
      <c r="E391" s="41">
        <v>4.9</v>
      </c>
      <c r="F391" s="41"/>
      <c r="G391" s="41">
        <v>2</v>
      </c>
      <c r="H391" s="41">
        <f>ROUND(G391*E391*D391,2)</f>
        <v>9.8</v>
      </c>
    </row>
    <row r="392" spans="1:8" ht="12.75">
      <c r="A392" s="41"/>
      <c r="B392" s="43" t="s">
        <v>354</v>
      </c>
      <c r="C392" s="41"/>
      <c r="D392" s="41">
        <v>0.35</v>
      </c>
      <c r="E392" s="41">
        <v>4.9</v>
      </c>
      <c r="F392" s="41"/>
      <c r="G392" s="41">
        <v>2</v>
      </c>
      <c r="H392" s="41">
        <f>ROUND(G392*E392*D392,2)</f>
        <v>3.43</v>
      </c>
    </row>
    <row r="393" spans="1:8" ht="12.75">
      <c r="A393" s="41"/>
      <c r="B393" s="43" t="s">
        <v>359</v>
      </c>
      <c r="C393" s="41"/>
      <c r="D393" s="41">
        <v>1</v>
      </c>
      <c r="E393" s="41"/>
      <c r="F393" s="41">
        <v>0.35</v>
      </c>
      <c r="G393" s="41">
        <v>1</v>
      </c>
      <c r="H393" s="41">
        <f>ROUND(G393*F393*D393,2)</f>
        <v>0.35</v>
      </c>
    </row>
    <row r="394" spans="1:8" ht="12.75">
      <c r="A394" s="41"/>
      <c r="B394" s="43"/>
      <c r="C394" s="41"/>
      <c r="D394" s="41"/>
      <c r="E394" s="41"/>
      <c r="F394" s="41"/>
      <c r="G394" s="46" t="s">
        <v>3</v>
      </c>
      <c r="H394" s="46">
        <f>SUM(H391:H393)</f>
        <v>13.58</v>
      </c>
    </row>
    <row r="395" spans="1:8" ht="12.75">
      <c r="A395" s="41"/>
      <c r="B395" s="43"/>
      <c r="C395" s="41"/>
      <c r="D395" s="41"/>
      <c r="E395" s="41"/>
      <c r="F395" s="41"/>
      <c r="G395" s="41"/>
      <c r="H395" s="41"/>
    </row>
    <row r="396" spans="1:8" ht="51">
      <c r="A396" s="64" t="s">
        <v>187</v>
      </c>
      <c r="B396" s="6" t="s">
        <v>244</v>
      </c>
      <c r="C396" s="5" t="s">
        <v>29</v>
      </c>
      <c r="D396" s="41"/>
      <c r="E396" s="41"/>
      <c r="F396" s="41"/>
      <c r="G396" s="41"/>
      <c r="H396" s="41"/>
    </row>
    <row r="397" spans="1:8" ht="12.75">
      <c r="A397" s="41"/>
      <c r="B397" s="43" t="s">
        <v>353</v>
      </c>
      <c r="C397" s="41"/>
      <c r="D397" s="41">
        <v>1</v>
      </c>
      <c r="E397" s="41">
        <v>4.9</v>
      </c>
      <c r="F397" s="41"/>
      <c r="G397" s="41">
        <v>2</v>
      </c>
      <c r="H397" s="41">
        <f>ROUND(G397*E397*D397,2)</f>
        <v>9.8</v>
      </c>
    </row>
    <row r="398" spans="1:8" ht="12.75">
      <c r="A398" s="41"/>
      <c r="B398" s="43" t="s">
        <v>354</v>
      </c>
      <c r="C398" s="41"/>
      <c r="D398" s="41">
        <v>0.35</v>
      </c>
      <c r="E398" s="41">
        <v>4.9</v>
      </c>
      <c r="F398" s="41"/>
      <c r="G398" s="41">
        <v>2</v>
      </c>
      <c r="H398" s="41">
        <f>ROUND(G398*E398*D398,2)</f>
        <v>3.43</v>
      </c>
    </row>
    <row r="399" spans="1:8" ht="12.75">
      <c r="A399" s="41"/>
      <c r="B399" s="43" t="s">
        <v>359</v>
      </c>
      <c r="C399" s="41"/>
      <c r="D399" s="41">
        <v>1</v>
      </c>
      <c r="E399" s="41"/>
      <c r="F399" s="41">
        <v>0.35</v>
      </c>
      <c r="G399" s="41">
        <v>1</v>
      </c>
      <c r="H399" s="41">
        <f>ROUND(G399*F399*D399,2)</f>
        <v>0.35</v>
      </c>
    </row>
    <row r="400" spans="1:8" ht="12.75">
      <c r="A400" s="41"/>
      <c r="B400" s="43"/>
      <c r="C400" s="41"/>
      <c r="D400" s="41"/>
      <c r="E400" s="41"/>
      <c r="F400" s="41"/>
      <c r="G400" s="46" t="s">
        <v>3</v>
      </c>
      <c r="H400" s="46">
        <f>SUM(H397:H399)</f>
        <v>13.58</v>
      </c>
    </row>
    <row r="401" spans="1:8" ht="12.75">
      <c r="A401" s="41"/>
      <c r="B401" s="43"/>
      <c r="C401" s="41"/>
      <c r="D401" s="41"/>
      <c r="E401" s="41"/>
      <c r="F401" s="41"/>
      <c r="G401" s="41"/>
      <c r="H401" s="41"/>
    </row>
    <row r="402" spans="1:8" ht="25.5">
      <c r="A402" s="64" t="s">
        <v>188</v>
      </c>
      <c r="B402" s="6" t="s">
        <v>246</v>
      </c>
      <c r="C402" s="5" t="s">
        <v>29</v>
      </c>
      <c r="D402" s="41"/>
      <c r="E402" s="41"/>
      <c r="F402" s="41"/>
      <c r="G402" s="41"/>
      <c r="H402" s="41"/>
    </row>
    <row r="403" spans="1:8" ht="12.75">
      <c r="A403" s="41"/>
      <c r="B403" s="43" t="s">
        <v>353</v>
      </c>
      <c r="C403" s="41"/>
      <c r="D403" s="41">
        <v>1</v>
      </c>
      <c r="E403" s="41">
        <v>4.9</v>
      </c>
      <c r="F403" s="41"/>
      <c r="G403" s="41">
        <v>2</v>
      </c>
      <c r="H403" s="41">
        <f>ROUND(G403*E403*D403,2)</f>
        <v>9.8</v>
      </c>
    </row>
    <row r="404" spans="1:8" ht="12.75">
      <c r="A404" s="41"/>
      <c r="B404" s="43" t="s">
        <v>354</v>
      </c>
      <c r="C404" s="41"/>
      <c r="D404" s="41">
        <v>0.35</v>
      </c>
      <c r="E404" s="41">
        <v>4.9</v>
      </c>
      <c r="F404" s="41"/>
      <c r="G404" s="41">
        <v>2</v>
      </c>
      <c r="H404" s="41">
        <f>ROUND(G404*E404*D404,2)</f>
        <v>3.43</v>
      </c>
    </row>
    <row r="405" spans="1:8" ht="12.75">
      <c r="A405" s="41"/>
      <c r="B405" s="43" t="s">
        <v>359</v>
      </c>
      <c r="C405" s="41"/>
      <c r="D405" s="41">
        <v>1</v>
      </c>
      <c r="E405" s="41"/>
      <c r="F405" s="41">
        <v>0.35</v>
      </c>
      <c r="G405" s="41">
        <v>1</v>
      </c>
      <c r="H405" s="41">
        <f>ROUND(G405*F405*D405,2)</f>
        <v>0.35</v>
      </c>
    </row>
    <row r="406" spans="1:8" ht="12.75">
      <c r="A406" s="41"/>
      <c r="B406" s="43"/>
      <c r="C406" s="41"/>
      <c r="D406" s="41"/>
      <c r="E406" s="41"/>
      <c r="F406" s="41"/>
      <c r="G406" s="46" t="s">
        <v>3</v>
      </c>
      <c r="H406" s="46">
        <f>SUM(H403:H405)</f>
        <v>13.58</v>
      </c>
    </row>
    <row r="407" spans="1:8" ht="12.75">
      <c r="A407" s="41"/>
      <c r="B407" s="43"/>
      <c r="C407" s="41"/>
      <c r="D407" s="41"/>
      <c r="E407" s="41"/>
      <c r="F407" s="41"/>
      <c r="G407" s="41"/>
      <c r="H407" s="41"/>
    </row>
    <row r="408" spans="1:8" ht="25.5">
      <c r="A408" s="64" t="s">
        <v>189</v>
      </c>
      <c r="B408" s="6" t="s">
        <v>248</v>
      </c>
      <c r="C408" s="5" t="s">
        <v>29</v>
      </c>
      <c r="D408" s="41"/>
      <c r="E408" s="41"/>
      <c r="F408" s="41"/>
      <c r="G408" s="41"/>
      <c r="H408" s="41"/>
    </row>
    <row r="409" spans="1:8" ht="12.75">
      <c r="A409" s="41"/>
      <c r="B409" s="43" t="s">
        <v>353</v>
      </c>
      <c r="C409" s="41"/>
      <c r="D409" s="41">
        <v>1</v>
      </c>
      <c r="E409" s="41">
        <v>4.9</v>
      </c>
      <c r="F409" s="41"/>
      <c r="G409" s="41">
        <v>2</v>
      </c>
      <c r="H409" s="41">
        <f>ROUND(G409*E409*D409,2)</f>
        <v>9.8</v>
      </c>
    </row>
    <row r="410" spans="1:8" ht="12.75">
      <c r="A410" s="41"/>
      <c r="B410" s="43" t="s">
        <v>354</v>
      </c>
      <c r="C410" s="41"/>
      <c r="D410" s="41">
        <v>0.35</v>
      </c>
      <c r="E410" s="41">
        <v>4.9</v>
      </c>
      <c r="F410" s="41"/>
      <c r="G410" s="41">
        <v>2</v>
      </c>
      <c r="H410" s="41">
        <f>ROUND(G410*E410*D410,2)</f>
        <v>3.43</v>
      </c>
    </row>
    <row r="411" spans="1:8" ht="12.75">
      <c r="A411" s="41"/>
      <c r="B411" s="43" t="s">
        <v>359</v>
      </c>
      <c r="C411" s="41"/>
      <c r="D411" s="41">
        <v>1</v>
      </c>
      <c r="E411" s="41"/>
      <c r="F411" s="41">
        <v>0.35</v>
      </c>
      <c r="G411" s="41">
        <v>1</v>
      </c>
      <c r="H411" s="41">
        <f>ROUND(G411*F411*D411,2)</f>
        <v>0.35</v>
      </c>
    </row>
    <row r="412" spans="1:8" ht="12.75">
      <c r="A412" s="41"/>
      <c r="B412" s="43"/>
      <c r="C412" s="41"/>
      <c r="D412" s="41"/>
      <c r="E412" s="41"/>
      <c r="F412" s="41"/>
      <c r="G412" s="46" t="s">
        <v>3</v>
      </c>
      <c r="H412" s="46">
        <f>SUM(H409:H411)</f>
        <v>13.58</v>
      </c>
    </row>
    <row r="413" spans="1:8" ht="12.75">
      <c r="A413" s="41"/>
      <c r="B413" s="43"/>
      <c r="C413" s="41"/>
      <c r="D413" s="41"/>
      <c r="E413" s="41"/>
      <c r="F413" s="41"/>
      <c r="G413" s="41"/>
      <c r="H413" s="41"/>
    </row>
    <row r="414" spans="1:8" ht="25.5">
      <c r="A414" s="64" t="s">
        <v>190</v>
      </c>
      <c r="B414" s="61" t="s">
        <v>360</v>
      </c>
      <c r="C414" s="111" t="s">
        <v>35</v>
      </c>
      <c r="D414" s="41"/>
      <c r="E414" s="41"/>
      <c r="F414" s="41"/>
      <c r="G414" s="41"/>
      <c r="H414" s="41"/>
    </row>
    <row r="415" spans="1:8" ht="12.75">
      <c r="A415" s="41"/>
      <c r="B415" s="358" t="s">
        <v>535</v>
      </c>
      <c r="C415" s="358"/>
      <c r="D415" s="41"/>
      <c r="E415" s="41"/>
      <c r="F415" s="41"/>
      <c r="G415" s="41"/>
      <c r="H415" s="41"/>
    </row>
    <row r="416" spans="1:8" ht="12.75">
      <c r="A416" s="41"/>
      <c r="B416" s="63" t="s">
        <v>487</v>
      </c>
      <c r="C416" s="358"/>
      <c r="D416" s="41">
        <f>(1.5+0.7)/2</f>
        <v>1.1</v>
      </c>
      <c r="E416" s="41">
        <v>3.7</v>
      </c>
      <c r="F416" s="41"/>
      <c r="G416" s="41">
        <v>2</v>
      </c>
      <c r="H416" s="41">
        <f>ROUND(G416*E416*D416,2)</f>
        <v>8.14</v>
      </c>
    </row>
    <row r="417" spans="1:8" ht="12.75">
      <c r="A417" s="41"/>
      <c r="B417" s="63" t="s">
        <v>488</v>
      </c>
      <c r="C417" s="358"/>
      <c r="D417" s="41">
        <f>0.51/2</f>
        <v>0.255</v>
      </c>
      <c r="E417" s="41">
        <v>2.32</v>
      </c>
      <c r="F417" s="41"/>
      <c r="G417" s="41">
        <v>2</v>
      </c>
      <c r="H417" s="41">
        <f>ROUND(G417*E417*D417,2)</f>
        <v>1.18</v>
      </c>
    </row>
    <row r="418" spans="1:8" ht="12.75">
      <c r="A418" s="41"/>
      <c r="B418" s="63" t="s">
        <v>489</v>
      </c>
      <c r="C418" s="358"/>
      <c r="D418" s="41">
        <v>1.51</v>
      </c>
      <c r="E418" s="41"/>
      <c r="F418" s="41">
        <v>0.08</v>
      </c>
      <c r="G418" s="41">
        <v>2</v>
      </c>
      <c r="H418" s="41">
        <f>ROUND(G418*F418*D418,2)</f>
        <v>0.24</v>
      </c>
    </row>
    <row r="419" spans="1:8" ht="12.75">
      <c r="A419" s="41"/>
      <c r="B419" s="63"/>
      <c r="C419" s="358"/>
      <c r="D419" s="41">
        <v>0.7</v>
      </c>
      <c r="E419" s="41"/>
      <c r="F419" s="41">
        <v>0.08</v>
      </c>
      <c r="G419" s="41">
        <v>2</v>
      </c>
      <c r="H419" s="41">
        <f>ROUND(G419*F419*D419,2)</f>
        <v>0.11</v>
      </c>
    </row>
    <row r="420" spans="1:8" ht="12.75">
      <c r="A420" s="41"/>
      <c r="B420" s="63"/>
      <c r="C420" s="358"/>
      <c r="D420" s="41">
        <v>3.7</v>
      </c>
      <c r="E420" s="41"/>
      <c r="F420" s="41">
        <v>0.08</v>
      </c>
      <c r="G420" s="41">
        <v>2</v>
      </c>
      <c r="H420" s="41">
        <f>ROUND(G420*F420*D420,2)</f>
        <v>0.59</v>
      </c>
    </row>
    <row r="421" spans="1:8" ht="12.75">
      <c r="A421" s="41"/>
      <c r="B421" s="63"/>
      <c r="C421" s="358"/>
      <c r="D421" s="41">
        <v>3.81</v>
      </c>
      <c r="E421" s="41"/>
      <c r="F421" s="41">
        <v>0.08</v>
      </c>
      <c r="G421" s="41">
        <v>2</v>
      </c>
      <c r="H421" s="41">
        <f>ROUND(G421*F421*D421,2)</f>
        <v>0.61</v>
      </c>
    </row>
    <row r="422" spans="1:8" ht="12.75">
      <c r="A422" s="41"/>
      <c r="B422" s="43"/>
      <c r="C422" s="41"/>
      <c r="D422" s="41"/>
      <c r="E422" s="41"/>
      <c r="F422" s="41"/>
      <c r="G422" s="46" t="s">
        <v>536</v>
      </c>
      <c r="H422" s="46">
        <f>SUM(H416:H421)</f>
        <v>10.87</v>
      </c>
    </row>
    <row r="423" spans="1:8" ht="12.75">
      <c r="A423" s="41"/>
      <c r="B423" s="43"/>
      <c r="C423" s="41"/>
      <c r="D423" s="41"/>
      <c r="E423" s="41"/>
      <c r="F423" s="41"/>
      <c r="G423" s="46" t="s">
        <v>15</v>
      </c>
      <c r="H423" s="46">
        <v>1</v>
      </c>
    </row>
    <row r="424" spans="1:8" ht="12.75">
      <c r="A424" s="41"/>
      <c r="B424" s="43"/>
      <c r="C424" s="41"/>
      <c r="D424" s="41"/>
      <c r="E424" s="41"/>
      <c r="F424" s="41"/>
      <c r="G424" s="41"/>
      <c r="H424" s="41"/>
    </row>
    <row r="425" spans="1:8" ht="12.75">
      <c r="A425" s="7" t="s">
        <v>115</v>
      </c>
      <c r="B425" s="9" t="s">
        <v>502</v>
      </c>
      <c r="C425" s="60"/>
      <c r="D425" s="41"/>
      <c r="E425" s="41"/>
      <c r="F425" s="41"/>
      <c r="G425" s="41"/>
      <c r="H425" s="41"/>
    </row>
    <row r="426" spans="1:8" ht="12.75">
      <c r="A426" s="64" t="s">
        <v>191</v>
      </c>
      <c r="B426" s="6" t="s">
        <v>343</v>
      </c>
      <c r="C426" s="5" t="s">
        <v>103</v>
      </c>
      <c r="D426" s="41"/>
      <c r="E426" s="41"/>
      <c r="F426" s="41"/>
      <c r="G426" s="41"/>
      <c r="H426" s="41"/>
    </row>
    <row r="427" spans="1:8" ht="12.75">
      <c r="A427" s="62"/>
      <c r="B427" s="63" t="s">
        <v>361</v>
      </c>
      <c r="C427" s="58"/>
      <c r="D427" s="41">
        <f>13.55+1.6+10.15+2.35+7.4+1.95</f>
        <v>37.00000000000001</v>
      </c>
      <c r="E427" s="41"/>
      <c r="F427" s="41"/>
      <c r="G427" s="41"/>
      <c r="H427" s="41">
        <f>D427</f>
        <v>37.00000000000001</v>
      </c>
    </row>
    <row r="428" spans="1:8" ht="12.75">
      <c r="A428" s="62"/>
      <c r="B428" s="63" t="s">
        <v>362</v>
      </c>
      <c r="C428" s="58"/>
      <c r="D428" s="41">
        <f>0.95+6.85+5.75+3.55+5.55+6.85</f>
        <v>29.5</v>
      </c>
      <c r="E428" s="41"/>
      <c r="F428" s="41"/>
      <c r="G428" s="41"/>
      <c r="H428" s="41">
        <f>D428</f>
        <v>29.5</v>
      </c>
    </row>
    <row r="429" spans="1:8" ht="12.75">
      <c r="A429" s="62"/>
      <c r="B429" s="63" t="s">
        <v>363</v>
      </c>
      <c r="C429" s="58"/>
      <c r="D429" s="41">
        <f>1.6+10.7+2.3+5.25+1.35+8.65</f>
        <v>29.85</v>
      </c>
      <c r="E429" s="41"/>
      <c r="F429" s="41"/>
      <c r="G429" s="41"/>
      <c r="H429" s="41">
        <f>D429</f>
        <v>29.85</v>
      </c>
    </row>
    <row r="430" spans="1:8" ht="12.75">
      <c r="A430" s="62"/>
      <c r="B430" s="63"/>
      <c r="C430" s="58"/>
      <c r="D430" s="41"/>
      <c r="E430" s="41"/>
      <c r="F430" s="41"/>
      <c r="G430" s="46" t="s">
        <v>3</v>
      </c>
      <c r="H430" s="46">
        <f>SUM(H427:H429)</f>
        <v>96.35</v>
      </c>
    </row>
    <row r="431" spans="1:8" ht="12.75">
      <c r="A431" s="62"/>
      <c r="B431" s="63"/>
      <c r="C431" s="58"/>
      <c r="D431" s="41"/>
      <c r="E431" s="41"/>
      <c r="F431" s="41"/>
      <c r="G431" s="41"/>
      <c r="H431" s="41"/>
    </row>
    <row r="432" spans="1:8" ht="38.25">
      <c r="A432" s="64" t="s">
        <v>192</v>
      </c>
      <c r="B432" s="6" t="s">
        <v>349</v>
      </c>
      <c r="C432" s="5" t="s">
        <v>30</v>
      </c>
      <c r="D432" s="41"/>
      <c r="E432" s="41"/>
      <c r="F432" s="41"/>
      <c r="G432" s="41"/>
      <c r="H432" s="41"/>
    </row>
    <row r="433" spans="1:8" ht="12.75">
      <c r="A433" s="62"/>
      <c r="B433" s="63" t="s">
        <v>364</v>
      </c>
      <c r="C433" s="45">
        <f>H430</f>
        <v>96.35</v>
      </c>
      <c r="D433" s="41"/>
      <c r="E433" s="41">
        <v>0.3</v>
      </c>
      <c r="F433" s="41">
        <v>0.12</v>
      </c>
      <c r="G433" s="41">
        <v>1.3</v>
      </c>
      <c r="H433" s="41">
        <f>ROUND(G433*F433*E433*C433,2)</f>
        <v>4.51</v>
      </c>
    </row>
    <row r="434" spans="1:8" ht="12.75">
      <c r="A434" s="62"/>
      <c r="B434" s="63"/>
      <c r="C434" s="58"/>
      <c r="D434" s="41"/>
      <c r="E434" s="41"/>
      <c r="F434" s="41"/>
      <c r="G434" s="46" t="s">
        <v>3</v>
      </c>
      <c r="H434" s="46">
        <f>SUM(H433:H433)</f>
        <v>4.51</v>
      </c>
    </row>
    <row r="435" spans="1:8" ht="12.75">
      <c r="A435" s="62"/>
      <c r="B435" s="63"/>
      <c r="C435" s="58"/>
      <c r="D435" s="41"/>
      <c r="E435" s="41"/>
      <c r="F435" s="41"/>
      <c r="G435" s="41"/>
      <c r="H435" s="41"/>
    </row>
    <row r="436" spans="1:8" ht="51">
      <c r="A436" s="64" t="s">
        <v>193</v>
      </c>
      <c r="B436" s="6" t="s">
        <v>365</v>
      </c>
      <c r="C436" s="5" t="s">
        <v>103</v>
      </c>
      <c r="D436" s="41"/>
      <c r="E436" s="41"/>
      <c r="F436" s="41"/>
      <c r="G436" s="41"/>
      <c r="H436" s="41"/>
    </row>
    <row r="437" spans="1:8" ht="12.75">
      <c r="A437" s="41"/>
      <c r="B437" s="63" t="s">
        <v>503</v>
      </c>
      <c r="C437" s="58"/>
      <c r="D437" s="41">
        <f>13.55+1.6+10.15+2.35+7.4+1.95</f>
        <v>37.00000000000001</v>
      </c>
      <c r="E437" s="41"/>
      <c r="F437" s="41"/>
      <c r="G437" s="41"/>
      <c r="H437" s="41">
        <f>D437</f>
        <v>37.00000000000001</v>
      </c>
    </row>
    <row r="438" spans="1:8" ht="12.75">
      <c r="A438" s="41"/>
      <c r="B438" s="63" t="s">
        <v>504</v>
      </c>
      <c r="C438" s="58"/>
      <c r="D438" s="41">
        <f>0.95+6.85+5.75+3.55+5.55+6.85</f>
        <v>29.5</v>
      </c>
      <c r="E438" s="41"/>
      <c r="F438" s="41"/>
      <c r="G438" s="41"/>
      <c r="H438" s="41">
        <f>D438</f>
        <v>29.5</v>
      </c>
    </row>
    <row r="439" spans="1:8" ht="12.75">
      <c r="A439" s="41"/>
      <c r="B439" s="63" t="s">
        <v>505</v>
      </c>
      <c r="C439" s="58"/>
      <c r="D439" s="41">
        <f>1.6+10.7+2.3+5.25+1.35+8.65</f>
        <v>29.85</v>
      </c>
      <c r="E439" s="41"/>
      <c r="F439" s="41"/>
      <c r="G439" s="41"/>
      <c r="H439" s="41">
        <f>D439</f>
        <v>29.85</v>
      </c>
    </row>
    <row r="440" spans="1:8" ht="12.75">
      <c r="A440" s="41"/>
      <c r="B440" s="43"/>
      <c r="C440" s="41"/>
      <c r="D440" s="41"/>
      <c r="E440" s="41"/>
      <c r="F440" s="41"/>
      <c r="G440" s="46" t="s">
        <v>3</v>
      </c>
      <c r="H440" s="46">
        <f>SUM(H437:H439)</f>
        <v>96.35</v>
      </c>
    </row>
    <row r="441" spans="1:8" ht="12.75">
      <c r="A441" s="7"/>
      <c r="B441" s="9"/>
      <c r="C441" s="60"/>
      <c r="D441" s="41"/>
      <c r="E441" s="41"/>
      <c r="F441" s="41"/>
      <c r="G441" s="41"/>
      <c r="H441" s="41"/>
    </row>
    <row r="442" spans="1:8" ht="25.5">
      <c r="A442" s="64" t="s">
        <v>194</v>
      </c>
      <c r="B442" s="6" t="s">
        <v>213</v>
      </c>
      <c r="C442" s="5" t="s">
        <v>29</v>
      </c>
      <c r="D442" s="41"/>
      <c r="E442" s="41"/>
      <c r="F442" s="41"/>
      <c r="G442" s="41"/>
      <c r="H442" s="41"/>
    </row>
    <row r="443" spans="1:8" ht="12.75">
      <c r="A443" s="111"/>
      <c r="B443" s="63" t="s">
        <v>330</v>
      </c>
      <c r="C443" s="45"/>
      <c r="D443" s="41"/>
      <c r="E443" s="41"/>
      <c r="F443" s="41"/>
      <c r="G443" s="41"/>
      <c r="H443" s="41">
        <v>72.2</v>
      </c>
    </row>
    <row r="444" spans="1:8" ht="12.75">
      <c r="A444" s="111"/>
      <c r="B444" s="63"/>
      <c r="C444" s="45"/>
      <c r="D444" s="41"/>
      <c r="E444" s="41"/>
      <c r="F444" s="41"/>
      <c r="G444" s="46" t="s">
        <v>3</v>
      </c>
      <c r="H444" s="46">
        <f>SUM(H443:H443)</f>
        <v>72.2</v>
      </c>
    </row>
    <row r="445" spans="1:8" ht="12.75">
      <c r="A445" s="41"/>
      <c r="B445" s="47"/>
      <c r="C445" s="48"/>
      <c r="D445" s="48"/>
      <c r="E445" s="48"/>
      <c r="F445" s="48"/>
      <c r="G445" s="48"/>
      <c r="H445" s="48"/>
    </row>
    <row r="446" spans="1:8" ht="25.5">
      <c r="A446" s="64" t="s">
        <v>195</v>
      </c>
      <c r="B446" s="6" t="s">
        <v>368</v>
      </c>
      <c r="C446" s="5" t="s">
        <v>29</v>
      </c>
      <c r="D446" s="48"/>
      <c r="E446" s="48"/>
      <c r="F446" s="48"/>
      <c r="G446" s="48"/>
      <c r="H446" s="48"/>
    </row>
    <row r="447" spans="1:8" ht="12.75">
      <c r="A447" s="41"/>
      <c r="B447" s="63" t="s">
        <v>370</v>
      </c>
      <c r="C447" s="48"/>
      <c r="D447" s="48"/>
      <c r="E447" s="48"/>
      <c r="F447" s="48"/>
      <c r="G447" s="41"/>
      <c r="H447" s="41">
        <v>43.6</v>
      </c>
    </row>
    <row r="448" spans="1:8" ht="12.75">
      <c r="A448" s="41"/>
      <c r="B448" s="63" t="s">
        <v>371</v>
      </c>
      <c r="C448" s="48"/>
      <c r="D448" s="48"/>
      <c r="E448" s="48"/>
      <c r="F448" s="48"/>
      <c r="G448" s="41"/>
      <c r="H448" s="41">
        <v>19.6</v>
      </c>
    </row>
    <row r="449" spans="1:8" ht="12.75">
      <c r="A449" s="41"/>
      <c r="B449" s="47"/>
      <c r="C449" s="48"/>
      <c r="D449" s="48"/>
      <c r="E449" s="48"/>
      <c r="F449" s="48"/>
      <c r="G449" s="46" t="s">
        <v>3</v>
      </c>
      <c r="H449" s="46">
        <f>SUM(H447:H448)</f>
        <v>63.2</v>
      </c>
    </row>
    <row r="450" spans="1:8" ht="12.75">
      <c r="A450" s="41"/>
      <c r="B450" s="47"/>
      <c r="C450" s="48"/>
      <c r="D450" s="48"/>
      <c r="E450" s="48"/>
      <c r="F450" s="48"/>
      <c r="G450" s="41"/>
      <c r="H450" s="41"/>
    </row>
    <row r="451" spans="1:8" ht="12.75">
      <c r="A451" s="41"/>
      <c r="B451" s="47"/>
      <c r="C451" s="48"/>
      <c r="D451" s="48"/>
      <c r="E451" s="48"/>
      <c r="F451" s="48"/>
      <c r="G451" s="41"/>
      <c r="H451" s="41"/>
    </row>
    <row r="452" spans="1:8" ht="12.75">
      <c r="A452" s="7" t="s">
        <v>494</v>
      </c>
      <c r="B452" s="9" t="s">
        <v>331</v>
      </c>
      <c r="C452" s="48"/>
      <c r="D452" s="48"/>
      <c r="E452" s="48"/>
      <c r="F452" s="48"/>
      <c r="G452" s="41"/>
      <c r="H452" s="41"/>
    </row>
    <row r="453" spans="1:8" ht="25.5">
      <c r="A453" s="64" t="s">
        <v>495</v>
      </c>
      <c r="B453" s="248" t="s">
        <v>256</v>
      </c>
      <c r="C453" s="155" t="s">
        <v>35</v>
      </c>
      <c r="D453" s="48"/>
      <c r="E453" s="48"/>
      <c r="F453" s="48"/>
      <c r="G453" s="41"/>
      <c r="H453" s="41"/>
    </row>
    <row r="454" spans="1:8" ht="12.75">
      <c r="A454" s="41"/>
      <c r="B454" s="43" t="s">
        <v>255</v>
      </c>
      <c r="C454" s="45"/>
      <c r="D454" s="41"/>
      <c r="E454" s="41"/>
      <c r="F454" s="41"/>
      <c r="G454" s="41"/>
      <c r="H454" s="41">
        <v>3</v>
      </c>
    </row>
    <row r="455" spans="1:8" ht="12.75">
      <c r="A455" s="64"/>
      <c r="B455" s="63"/>
      <c r="C455" s="45"/>
      <c r="D455" s="41"/>
      <c r="E455" s="41"/>
      <c r="F455" s="41"/>
      <c r="G455" s="46" t="s">
        <v>3</v>
      </c>
      <c r="H455" s="46">
        <f>SUM(H454:H454)</f>
        <v>3</v>
      </c>
    </row>
    <row r="456" spans="1:8" ht="12.75">
      <c r="A456" s="41"/>
      <c r="B456" s="43"/>
      <c r="C456" s="41"/>
      <c r="D456" s="41"/>
      <c r="E456" s="41"/>
      <c r="F456" s="41"/>
      <c r="G456" s="41"/>
      <c r="H456" s="41"/>
    </row>
    <row r="457" spans="1:8" ht="25.5">
      <c r="A457" s="64" t="s">
        <v>496</v>
      </c>
      <c r="B457" s="285" t="s">
        <v>250</v>
      </c>
      <c r="C457" s="167" t="s">
        <v>30</v>
      </c>
      <c r="D457" s="41"/>
      <c r="E457" s="41"/>
      <c r="F457" s="41"/>
      <c r="G457" s="46"/>
      <c r="H457" s="46"/>
    </row>
    <row r="458" spans="1:8" ht="12.75">
      <c r="A458" s="41"/>
      <c r="B458" s="43" t="s">
        <v>258</v>
      </c>
      <c r="C458" s="41"/>
      <c r="D458" s="41">
        <v>0.3</v>
      </c>
      <c r="E458" s="41">
        <v>0.7</v>
      </c>
      <c r="F458" s="41">
        <v>0.3</v>
      </c>
      <c r="G458" s="41">
        <v>3</v>
      </c>
      <c r="H458" s="41">
        <f>ROUND(G458*F458*E458*D458,2)</f>
        <v>0.19</v>
      </c>
    </row>
    <row r="459" spans="1:8" ht="12.75">
      <c r="A459" s="64"/>
      <c r="B459" s="6"/>
      <c r="C459" s="167"/>
      <c r="D459" s="41"/>
      <c r="E459" s="41"/>
      <c r="F459" s="41"/>
      <c r="G459" s="46" t="s">
        <v>3</v>
      </c>
      <c r="H459" s="46">
        <f>SUM(H456:H458)</f>
        <v>0.19</v>
      </c>
    </row>
    <row r="460" spans="1:8" ht="12.75">
      <c r="A460" s="111"/>
      <c r="B460" s="166"/>
      <c r="C460" s="111"/>
      <c r="D460" s="41"/>
      <c r="E460" s="41"/>
      <c r="F460" s="41"/>
      <c r="G460" s="41"/>
      <c r="H460" s="41"/>
    </row>
    <row r="461" spans="1:8" ht="38.25">
      <c r="A461" s="64" t="s">
        <v>497</v>
      </c>
      <c r="B461" s="265" t="s">
        <v>251</v>
      </c>
      <c r="C461" s="155" t="s">
        <v>30</v>
      </c>
      <c r="D461" s="41"/>
      <c r="E461" s="41"/>
      <c r="F461" s="41"/>
      <c r="G461" s="46"/>
      <c r="H461" s="46"/>
    </row>
    <row r="462" spans="1:8" ht="12.75">
      <c r="A462" s="111"/>
      <c r="B462" s="43" t="s">
        <v>258</v>
      </c>
      <c r="C462" s="41"/>
      <c r="D462" s="41">
        <v>0.3</v>
      </c>
      <c r="E462" s="41">
        <v>0.7</v>
      </c>
      <c r="F462" s="41">
        <v>0.3</v>
      </c>
      <c r="G462" s="41">
        <v>3</v>
      </c>
      <c r="H462" s="41">
        <f>ROUND(G462*F462*E462*D462,2)</f>
        <v>0.19</v>
      </c>
    </row>
    <row r="463" spans="1:8" ht="12.75">
      <c r="A463" s="64"/>
      <c r="B463" s="61"/>
      <c r="C463" s="359"/>
      <c r="D463" s="41"/>
      <c r="E463" s="41"/>
      <c r="F463" s="41"/>
      <c r="G463" s="46" t="s">
        <v>3</v>
      </c>
      <c r="H463" s="46">
        <f>SUM(H460:H462)</f>
        <v>0.19</v>
      </c>
    </row>
    <row r="464" spans="1:8" ht="12.75">
      <c r="A464" s="41"/>
      <c r="B464" s="63"/>
      <c r="C464" s="111"/>
      <c r="D464" s="41"/>
      <c r="E464" s="41"/>
      <c r="F464" s="41"/>
      <c r="G464" s="41"/>
      <c r="H464" s="41"/>
    </row>
    <row r="465" spans="1:8" ht="12.75">
      <c r="A465" s="64" t="s">
        <v>498</v>
      </c>
      <c r="B465" s="61" t="s">
        <v>440</v>
      </c>
      <c r="C465" s="171" t="s">
        <v>35</v>
      </c>
      <c r="D465" s="41"/>
      <c r="E465" s="41"/>
      <c r="F465" s="41"/>
      <c r="G465" s="46"/>
      <c r="H465" s="46"/>
    </row>
    <row r="466" spans="1:8" ht="12.75">
      <c r="A466" s="41"/>
      <c r="B466" s="43" t="s">
        <v>255</v>
      </c>
      <c r="C466" s="41"/>
      <c r="D466" s="41"/>
      <c r="E466" s="41"/>
      <c r="F466" s="41"/>
      <c r="G466" s="41"/>
      <c r="H466" s="41">
        <v>3</v>
      </c>
    </row>
    <row r="467" spans="1:8" ht="12.75">
      <c r="A467" s="64"/>
      <c r="B467" s="61"/>
      <c r="C467" s="111"/>
      <c r="D467" s="41"/>
      <c r="E467" s="41"/>
      <c r="F467" s="41"/>
      <c r="G467" s="46" t="s">
        <v>3</v>
      </c>
      <c r="H467" s="46">
        <f>SUM(H466:H466)</f>
        <v>3</v>
      </c>
    </row>
    <row r="468" spans="1:8" ht="12.75">
      <c r="A468" s="41"/>
      <c r="B468" s="63"/>
      <c r="C468" s="111"/>
      <c r="D468" s="41"/>
      <c r="E468" s="41"/>
      <c r="F468" s="41"/>
      <c r="G468" s="41"/>
      <c r="H468" s="41"/>
    </row>
    <row r="469" spans="1:8" ht="25.5">
      <c r="A469" s="64" t="s">
        <v>499</v>
      </c>
      <c r="B469" s="61" t="s">
        <v>506</v>
      </c>
      <c r="C469" s="171" t="s">
        <v>35</v>
      </c>
      <c r="D469" s="41"/>
      <c r="E469" s="41"/>
      <c r="F469" s="41"/>
      <c r="G469" s="46"/>
      <c r="H469" s="46"/>
    </row>
    <row r="470" spans="1:8" ht="12.75">
      <c r="A470" s="41"/>
      <c r="B470" s="43" t="s">
        <v>442</v>
      </c>
      <c r="C470" s="41">
        <v>4</v>
      </c>
      <c r="D470" s="41"/>
      <c r="E470" s="41"/>
      <c r="F470" s="41"/>
      <c r="G470" s="41">
        <v>3</v>
      </c>
      <c r="H470" s="41">
        <f>ROUND(G470*C470,2)</f>
        <v>12</v>
      </c>
    </row>
    <row r="471" spans="1:8" ht="12.75">
      <c r="A471" s="64"/>
      <c r="B471" s="61"/>
      <c r="C471" s="111"/>
      <c r="D471" s="41"/>
      <c r="E471" s="41"/>
      <c r="F471" s="41"/>
      <c r="G471" s="46" t="s">
        <v>3</v>
      </c>
      <c r="H471" s="46">
        <f>SUM(H470:H470)</f>
        <v>12</v>
      </c>
    </row>
    <row r="472" spans="1:8" ht="12.75">
      <c r="A472" s="111"/>
      <c r="B472" s="43"/>
      <c r="C472" s="41"/>
      <c r="D472" s="41"/>
      <c r="E472" s="41"/>
      <c r="F472" s="41"/>
      <c r="G472" s="41"/>
      <c r="H472" s="41"/>
    </row>
    <row r="473" spans="1:8" ht="25.5">
      <c r="A473" s="64" t="s">
        <v>500</v>
      </c>
      <c r="B473" s="58" t="s">
        <v>441</v>
      </c>
      <c r="C473" s="171" t="s">
        <v>35</v>
      </c>
      <c r="D473" s="41"/>
      <c r="E473" s="41"/>
      <c r="F473" s="41"/>
      <c r="G473" s="41"/>
      <c r="H473" s="41"/>
    </row>
    <row r="474" spans="1:8" ht="12.75">
      <c r="A474" s="41"/>
      <c r="B474" s="63" t="s">
        <v>444</v>
      </c>
      <c r="C474" s="111"/>
      <c r="D474" s="41"/>
      <c r="E474" s="41"/>
      <c r="F474" s="41"/>
      <c r="G474" s="46"/>
      <c r="H474" s="41">
        <v>2</v>
      </c>
    </row>
    <row r="475" spans="1:8" ht="12.75">
      <c r="A475" s="41"/>
      <c r="B475" s="47"/>
      <c r="C475" s="48"/>
      <c r="D475" s="48"/>
      <c r="E475" s="48"/>
      <c r="F475" s="48"/>
      <c r="G475" s="46" t="s">
        <v>3</v>
      </c>
      <c r="H475" s="46">
        <f>SUM(H474:H474)</f>
        <v>2</v>
      </c>
    </row>
    <row r="476" spans="1:8" ht="12.75">
      <c r="A476" s="260"/>
      <c r="B476" s="166"/>
      <c r="C476" s="268"/>
      <c r="D476" s="41"/>
      <c r="E476" s="41"/>
      <c r="F476" s="41"/>
      <c r="G476" s="46"/>
      <c r="H476" s="46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 horizontalCentered="1"/>
  <pageMargins left="0.41" right="0.3" top="0.32" bottom="0.3937007874015748" header="0.31496062992125984" footer="0.31496062992125984"/>
  <pageSetup horizontalDpi="360" verticalDpi="360" orientation="portrait" paperSize="9" scale="69" r:id="rId2"/>
  <headerFooter>
    <oddFooter>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99">
      <selection activeCell="A92" sqref="A92:H113"/>
    </sheetView>
  </sheetViews>
  <sheetFormatPr defaultColWidth="9.140625" defaultRowHeight="12.75"/>
  <cols>
    <col min="1" max="1" width="9.28125" style="143" bestFit="1" customWidth="1"/>
    <col min="2" max="2" width="11.8515625" style="143" customWidth="1"/>
    <col min="3" max="3" width="60.57421875" style="143" customWidth="1"/>
    <col min="4" max="5" width="9.140625" style="143" customWidth="1"/>
    <col min="6" max="6" width="9.28125" style="143" bestFit="1" customWidth="1"/>
    <col min="7" max="7" width="10.140625" style="143" bestFit="1" customWidth="1"/>
    <col min="8" max="8" width="9.57421875" style="143" bestFit="1" customWidth="1"/>
    <col min="9" max="9" width="9.140625" style="143" customWidth="1"/>
    <col min="10" max="10" width="16.7109375" style="143" customWidth="1"/>
    <col min="11" max="16384" width="9.140625" style="143" customWidth="1"/>
  </cols>
  <sheetData>
    <row r="1" spans="1:8" ht="89.25" customHeight="1">
      <c r="A1" s="433"/>
      <c r="B1" s="433"/>
      <c r="C1" s="433"/>
      <c r="D1" s="433"/>
      <c r="E1" s="433"/>
      <c r="F1" s="433"/>
      <c r="G1" s="433"/>
      <c r="H1" s="433"/>
    </row>
    <row r="2" spans="1:8" ht="12.75">
      <c r="A2" s="433" t="s">
        <v>342</v>
      </c>
      <c r="B2" s="433"/>
      <c r="C2" s="433"/>
      <c r="D2" s="433"/>
      <c r="E2" s="433"/>
      <c r="F2" s="433"/>
      <c r="G2" s="433"/>
      <c r="H2" s="433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434" t="s">
        <v>87</v>
      </c>
      <c r="B4" s="434"/>
      <c r="C4" s="434"/>
      <c r="D4" s="434"/>
      <c r="E4" s="434"/>
      <c r="F4" s="434"/>
      <c r="G4" s="434"/>
      <c r="H4" s="434"/>
    </row>
    <row r="5" spans="1:8" ht="13.5" thickBot="1">
      <c r="A5" s="435"/>
      <c r="B5" s="436"/>
      <c r="C5" s="437"/>
      <c r="D5" s="437"/>
      <c r="E5" s="437"/>
      <c r="F5" s="437"/>
      <c r="G5" s="437"/>
      <c r="H5" s="438"/>
    </row>
    <row r="6" spans="1:8" ht="25.5">
      <c r="A6" s="395" t="s">
        <v>344</v>
      </c>
      <c r="B6" s="396"/>
      <c r="C6" s="156" t="s">
        <v>2</v>
      </c>
      <c r="D6" s="156" t="s">
        <v>88</v>
      </c>
      <c r="E6" s="156" t="s">
        <v>89</v>
      </c>
      <c r="F6" s="157" t="s">
        <v>90</v>
      </c>
      <c r="G6" s="250" t="s">
        <v>91</v>
      </c>
      <c r="H6" s="158" t="s">
        <v>92</v>
      </c>
    </row>
    <row r="7" spans="1:8" ht="12.75">
      <c r="A7" s="294" t="s">
        <v>93</v>
      </c>
      <c r="B7" s="159" t="s">
        <v>85</v>
      </c>
      <c r="C7" s="225" t="s">
        <v>343</v>
      </c>
      <c r="D7" s="287"/>
      <c r="E7" s="159" t="s">
        <v>103</v>
      </c>
      <c r="F7" s="160"/>
      <c r="G7" s="161"/>
      <c r="H7" s="162"/>
    </row>
    <row r="8" spans="1:8" ht="12.75">
      <c r="A8" s="295" t="s">
        <v>345</v>
      </c>
      <c r="B8" s="169" t="s">
        <v>32</v>
      </c>
      <c r="C8" s="6" t="s">
        <v>163</v>
      </c>
      <c r="D8" s="253" t="s">
        <v>94</v>
      </c>
      <c r="E8" s="296" t="s">
        <v>33</v>
      </c>
      <c r="F8" s="297">
        <v>0.05</v>
      </c>
      <c r="G8" s="255">
        <v>26.51</v>
      </c>
      <c r="H8" s="163">
        <f>ROUND(G8*F8,2)</f>
        <v>1.33</v>
      </c>
    </row>
    <row r="9" spans="1:8" ht="12.75">
      <c r="A9" s="295" t="s">
        <v>95</v>
      </c>
      <c r="B9" s="169" t="s">
        <v>32</v>
      </c>
      <c r="C9" s="6" t="s">
        <v>96</v>
      </c>
      <c r="D9" s="253" t="s">
        <v>94</v>
      </c>
      <c r="E9" s="296" t="s">
        <v>33</v>
      </c>
      <c r="F9" s="297">
        <v>0.5</v>
      </c>
      <c r="G9" s="255">
        <v>21.28</v>
      </c>
      <c r="H9" s="163">
        <f>ROUND(G9*F9,2)</f>
        <v>10.64</v>
      </c>
    </row>
    <row r="10" spans="1:8" ht="12.75">
      <c r="A10" s="397" t="s">
        <v>97</v>
      </c>
      <c r="B10" s="398"/>
      <c r="C10" s="398"/>
      <c r="D10" s="398"/>
      <c r="E10" s="398"/>
      <c r="F10" s="398"/>
      <c r="G10" s="398"/>
      <c r="H10" s="257">
        <f>H8+H9</f>
        <v>11.97</v>
      </c>
    </row>
    <row r="11" spans="1:8" ht="12.75">
      <c r="A11" s="397" t="s">
        <v>98</v>
      </c>
      <c r="B11" s="398"/>
      <c r="C11" s="398"/>
      <c r="D11" s="398"/>
      <c r="E11" s="398"/>
      <c r="F11" s="398"/>
      <c r="G11" s="398"/>
      <c r="H11" s="257"/>
    </row>
    <row r="12" spans="1:8" ht="12.75">
      <c r="A12" s="397" t="s">
        <v>99</v>
      </c>
      <c r="B12" s="398"/>
      <c r="C12" s="398"/>
      <c r="D12" s="398"/>
      <c r="E12" s="398"/>
      <c r="F12" s="398"/>
      <c r="G12" s="398"/>
      <c r="H12" s="257">
        <v>0</v>
      </c>
    </row>
    <row r="13" spans="1:8" ht="12.75">
      <c r="A13" s="399" t="s">
        <v>100</v>
      </c>
      <c r="B13" s="400"/>
      <c r="C13" s="400"/>
      <c r="D13" s="400"/>
      <c r="E13" s="400"/>
      <c r="F13" s="400"/>
      <c r="G13" s="400"/>
      <c r="H13" s="258">
        <f>ROUND((H10+H11+H12),2)</f>
        <v>11.97</v>
      </c>
    </row>
    <row r="14" spans="1:8" ht="12.75">
      <c r="A14" s="401"/>
      <c r="B14" s="402"/>
      <c r="C14" s="402"/>
      <c r="D14" s="402"/>
      <c r="E14" s="402"/>
      <c r="F14" s="402"/>
      <c r="G14" s="402"/>
      <c r="H14" s="403"/>
    </row>
    <row r="15" spans="1:8" ht="12.75">
      <c r="A15" s="386" t="s">
        <v>117</v>
      </c>
      <c r="B15" s="387"/>
      <c r="C15" s="387"/>
      <c r="D15" s="387"/>
      <c r="E15" s="387"/>
      <c r="F15" s="387"/>
      <c r="G15" s="387"/>
      <c r="H15" s="388"/>
    </row>
    <row r="16" spans="1:8" ht="12.75">
      <c r="A16" s="386" t="s">
        <v>346</v>
      </c>
      <c r="B16" s="387"/>
      <c r="C16" s="387"/>
      <c r="D16" s="387"/>
      <c r="E16" s="387"/>
      <c r="F16" s="387"/>
      <c r="G16" s="387"/>
      <c r="H16" s="388"/>
    </row>
    <row r="17" spans="1:8" ht="12.75">
      <c r="A17" s="389"/>
      <c r="B17" s="390"/>
      <c r="C17" s="390"/>
      <c r="D17" s="390"/>
      <c r="E17" s="390"/>
      <c r="F17" s="390"/>
      <c r="G17" s="390"/>
      <c r="H17" s="391"/>
    </row>
    <row r="18" spans="1:8" ht="12.75">
      <c r="A18" s="386" t="s">
        <v>118</v>
      </c>
      <c r="B18" s="387"/>
      <c r="C18" s="387"/>
      <c r="D18" s="387"/>
      <c r="E18" s="387"/>
      <c r="F18" s="387"/>
      <c r="G18" s="387"/>
      <c r="H18" s="388"/>
    </row>
    <row r="19" spans="1:8" ht="13.5" thickBot="1">
      <c r="A19" s="392" t="s">
        <v>451</v>
      </c>
      <c r="B19" s="393"/>
      <c r="C19" s="393"/>
      <c r="D19" s="393"/>
      <c r="E19" s="393"/>
      <c r="F19" s="393"/>
      <c r="G19" s="393"/>
      <c r="H19" s="394"/>
    </row>
    <row r="20" spans="1:8" ht="13.5" thickBot="1">
      <c r="A20" s="144"/>
      <c r="B20" s="144"/>
      <c r="C20" s="144"/>
      <c r="D20" s="144"/>
      <c r="E20" s="144"/>
      <c r="F20" s="144"/>
      <c r="G20" s="144"/>
      <c r="H20" s="144"/>
    </row>
    <row r="21" spans="1:8" ht="25.5">
      <c r="A21" s="395" t="s">
        <v>170</v>
      </c>
      <c r="B21" s="396"/>
      <c r="C21" s="156" t="s">
        <v>2</v>
      </c>
      <c r="D21" s="156" t="s">
        <v>88</v>
      </c>
      <c r="E21" s="156" t="s">
        <v>89</v>
      </c>
      <c r="F21" s="157" t="s">
        <v>90</v>
      </c>
      <c r="G21" s="250" t="s">
        <v>91</v>
      </c>
      <c r="H21" s="158" t="s">
        <v>92</v>
      </c>
    </row>
    <row r="22" spans="1:8" ht="38.25">
      <c r="A22" s="252" t="s">
        <v>86</v>
      </c>
      <c r="B22" s="159" t="s">
        <v>116</v>
      </c>
      <c r="C22" s="225" t="s">
        <v>251</v>
      </c>
      <c r="D22" s="287"/>
      <c r="E22" s="159" t="s">
        <v>30</v>
      </c>
      <c r="F22" s="160"/>
      <c r="G22" s="161"/>
      <c r="H22" s="162"/>
    </row>
    <row r="23" spans="1:8" ht="25.5">
      <c r="A23" s="413" t="s">
        <v>259</v>
      </c>
      <c r="B23" s="414"/>
      <c r="C23" s="288" t="s">
        <v>260</v>
      </c>
      <c r="D23" s="253" t="s">
        <v>102</v>
      </c>
      <c r="E23" s="289" t="s">
        <v>29</v>
      </c>
      <c r="F23" s="290">
        <v>10</v>
      </c>
      <c r="G23" s="255">
        <f>H53</f>
        <v>93.5581852</v>
      </c>
      <c r="H23" s="256">
        <f>F23*G23</f>
        <v>935.581852</v>
      </c>
    </row>
    <row r="24" spans="1:8" ht="38.25">
      <c r="A24" s="291">
        <v>94964</v>
      </c>
      <c r="B24" s="169" t="s">
        <v>32</v>
      </c>
      <c r="C24" s="6" t="s">
        <v>261</v>
      </c>
      <c r="D24" s="253" t="s">
        <v>102</v>
      </c>
      <c r="E24" s="289" t="s">
        <v>30</v>
      </c>
      <c r="F24" s="290">
        <v>1</v>
      </c>
      <c r="G24" s="255">
        <v>488.29</v>
      </c>
      <c r="H24" s="256">
        <f>F24*G24</f>
        <v>488.29</v>
      </c>
    </row>
    <row r="25" spans="1:8" ht="25.5">
      <c r="A25" s="291">
        <v>103670</v>
      </c>
      <c r="B25" s="169" t="s">
        <v>32</v>
      </c>
      <c r="C25" s="288" t="s">
        <v>262</v>
      </c>
      <c r="D25" s="253" t="s">
        <v>102</v>
      </c>
      <c r="E25" s="289" t="s">
        <v>30</v>
      </c>
      <c r="F25" s="290">
        <v>1</v>
      </c>
      <c r="G25" s="255">
        <v>288.5</v>
      </c>
      <c r="H25" s="256">
        <f>F25*G25</f>
        <v>288.5</v>
      </c>
    </row>
    <row r="26" spans="1:8" ht="12.75">
      <c r="A26" s="415" t="s">
        <v>263</v>
      </c>
      <c r="B26" s="416"/>
      <c r="C26" s="288" t="s">
        <v>264</v>
      </c>
      <c r="D26" s="253" t="s">
        <v>102</v>
      </c>
      <c r="E26" s="289" t="s">
        <v>265</v>
      </c>
      <c r="F26" s="290">
        <v>1</v>
      </c>
      <c r="G26" s="255">
        <f>H67</f>
        <v>964.04</v>
      </c>
      <c r="H26" s="256">
        <f>F26*G26</f>
        <v>964.04</v>
      </c>
    </row>
    <row r="27" spans="1:8" ht="12.75">
      <c r="A27" s="397" t="s">
        <v>97</v>
      </c>
      <c r="B27" s="398"/>
      <c r="C27" s="398"/>
      <c r="D27" s="398"/>
      <c r="E27" s="398"/>
      <c r="F27" s="398"/>
      <c r="G27" s="398"/>
      <c r="H27" s="257"/>
    </row>
    <row r="28" spans="1:8" ht="12.75">
      <c r="A28" s="397" t="s">
        <v>98</v>
      </c>
      <c r="B28" s="398"/>
      <c r="C28" s="398"/>
      <c r="D28" s="398"/>
      <c r="E28" s="398"/>
      <c r="F28" s="398"/>
      <c r="G28" s="398"/>
      <c r="H28" s="257">
        <f>ROUND((SUM(H23:H26)),2)</f>
        <v>2676.41</v>
      </c>
    </row>
    <row r="29" spans="1:8" ht="12.75">
      <c r="A29" s="397" t="s">
        <v>99</v>
      </c>
      <c r="B29" s="398"/>
      <c r="C29" s="398"/>
      <c r="D29" s="398"/>
      <c r="E29" s="398"/>
      <c r="F29" s="398"/>
      <c r="G29" s="398"/>
      <c r="H29" s="257">
        <v>0</v>
      </c>
    </row>
    <row r="30" spans="1:8" ht="12.75">
      <c r="A30" s="399" t="s">
        <v>100</v>
      </c>
      <c r="B30" s="400"/>
      <c r="C30" s="400"/>
      <c r="D30" s="400"/>
      <c r="E30" s="400"/>
      <c r="F30" s="400"/>
      <c r="G30" s="400"/>
      <c r="H30" s="258">
        <f>H27+H28+H29</f>
        <v>2676.41</v>
      </c>
    </row>
    <row r="31" spans="1:8" ht="12.75">
      <c r="A31" s="410"/>
      <c r="B31" s="411"/>
      <c r="C31" s="411"/>
      <c r="D31" s="411"/>
      <c r="E31" s="411"/>
      <c r="F31" s="411"/>
      <c r="G31" s="411"/>
      <c r="H31" s="412"/>
    </row>
    <row r="32" spans="1:8" ht="12.75">
      <c r="A32" s="386" t="s">
        <v>117</v>
      </c>
      <c r="B32" s="387"/>
      <c r="C32" s="387"/>
      <c r="D32" s="387"/>
      <c r="E32" s="387"/>
      <c r="F32" s="387"/>
      <c r="G32" s="387"/>
      <c r="H32" s="388"/>
    </row>
    <row r="33" spans="1:8" ht="12.75">
      <c r="A33" s="386" t="s">
        <v>266</v>
      </c>
      <c r="B33" s="387"/>
      <c r="C33" s="387"/>
      <c r="D33" s="387"/>
      <c r="E33" s="387"/>
      <c r="F33" s="387"/>
      <c r="G33" s="387"/>
      <c r="H33" s="388"/>
    </row>
    <row r="34" spans="1:8" ht="12.75">
      <c r="A34" s="404"/>
      <c r="B34" s="405"/>
      <c r="C34" s="405"/>
      <c r="D34" s="405"/>
      <c r="E34" s="405"/>
      <c r="F34" s="405"/>
      <c r="G34" s="405"/>
      <c r="H34" s="406"/>
    </row>
    <row r="35" spans="1:8" ht="12.75">
      <c r="A35" s="386" t="s">
        <v>118</v>
      </c>
      <c r="B35" s="387"/>
      <c r="C35" s="387"/>
      <c r="D35" s="387"/>
      <c r="E35" s="387"/>
      <c r="F35" s="387"/>
      <c r="G35" s="387"/>
      <c r="H35" s="388"/>
    </row>
    <row r="36" spans="1:8" ht="13.5" thickBot="1">
      <c r="A36" s="392" t="s">
        <v>451</v>
      </c>
      <c r="B36" s="393"/>
      <c r="C36" s="393"/>
      <c r="D36" s="393"/>
      <c r="E36" s="393"/>
      <c r="F36" s="393"/>
      <c r="G36" s="393"/>
      <c r="H36" s="394"/>
    </row>
    <row r="37" spans="1:8" ht="13.5" thickBot="1">
      <c r="A37" s="292"/>
      <c r="B37" s="292"/>
      <c r="C37" s="292"/>
      <c r="D37" s="292"/>
      <c r="E37" s="292"/>
      <c r="F37" s="292"/>
      <c r="G37" s="292"/>
      <c r="H37" s="292"/>
    </row>
    <row r="38" spans="1:8" ht="25.5">
      <c r="A38" s="395" t="s">
        <v>259</v>
      </c>
      <c r="B38" s="396"/>
      <c r="C38" s="156" t="s">
        <v>2</v>
      </c>
      <c r="D38" s="156" t="s">
        <v>88</v>
      </c>
      <c r="E38" s="156" t="s">
        <v>89</v>
      </c>
      <c r="F38" s="157" t="s">
        <v>90</v>
      </c>
      <c r="G38" s="250" t="s">
        <v>91</v>
      </c>
      <c r="H38" s="158" t="s">
        <v>92</v>
      </c>
    </row>
    <row r="39" spans="1:8" ht="25.5">
      <c r="A39" s="252" t="s">
        <v>86</v>
      </c>
      <c r="B39" s="159" t="s">
        <v>116</v>
      </c>
      <c r="C39" s="225" t="s">
        <v>267</v>
      </c>
      <c r="D39" s="287"/>
      <c r="E39" s="159" t="s">
        <v>29</v>
      </c>
      <c r="F39" s="160"/>
      <c r="G39" s="161"/>
      <c r="H39" s="162"/>
    </row>
    <row r="40" spans="1:8" ht="25.5">
      <c r="A40" s="293">
        <v>88262</v>
      </c>
      <c r="B40" s="169" t="s">
        <v>268</v>
      </c>
      <c r="C40" s="288" t="s">
        <v>110</v>
      </c>
      <c r="D40" s="253" t="s">
        <v>94</v>
      </c>
      <c r="E40" s="289" t="s">
        <v>33</v>
      </c>
      <c r="F40" s="290">
        <v>0.973</v>
      </c>
      <c r="G40" s="255">
        <v>26.13</v>
      </c>
      <c r="H40" s="256">
        <f aca="true" t="shared" si="0" ref="H40:H49">F40*G40</f>
        <v>25.42449</v>
      </c>
    </row>
    <row r="41" spans="1:8" ht="25.5">
      <c r="A41" s="293">
        <v>88316</v>
      </c>
      <c r="B41" s="169" t="s">
        <v>268</v>
      </c>
      <c r="C41" s="288" t="s">
        <v>96</v>
      </c>
      <c r="D41" s="253" t="s">
        <v>94</v>
      </c>
      <c r="E41" s="289" t="s">
        <v>33</v>
      </c>
      <c r="F41" s="290">
        <v>1.35</v>
      </c>
      <c r="G41" s="255">
        <v>21.28</v>
      </c>
      <c r="H41" s="256">
        <f t="shared" si="0"/>
        <v>28.728000000000005</v>
      </c>
    </row>
    <row r="42" spans="1:8" ht="25.5">
      <c r="A42" s="293" t="s">
        <v>269</v>
      </c>
      <c r="B42" s="169" t="s">
        <v>270</v>
      </c>
      <c r="C42" s="248" t="s">
        <v>271</v>
      </c>
      <c r="D42" s="253" t="s">
        <v>102</v>
      </c>
      <c r="E42" s="289" t="s">
        <v>103</v>
      </c>
      <c r="F42" s="290">
        <v>0.122</v>
      </c>
      <c r="G42" s="255">
        <v>21.9</v>
      </c>
      <c r="H42" s="256">
        <f t="shared" si="0"/>
        <v>2.6717999999999997</v>
      </c>
    </row>
    <row r="43" spans="1:8" ht="25.5">
      <c r="A43" s="293" t="s">
        <v>272</v>
      </c>
      <c r="B43" s="169" t="s">
        <v>270</v>
      </c>
      <c r="C43" s="288" t="s">
        <v>273</v>
      </c>
      <c r="D43" s="253" t="s">
        <v>102</v>
      </c>
      <c r="E43" s="289" t="s">
        <v>106</v>
      </c>
      <c r="F43" s="290">
        <v>0.1</v>
      </c>
      <c r="G43" s="255">
        <v>18.66</v>
      </c>
      <c r="H43" s="256">
        <f t="shared" si="0"/>
        <v>1.866</v>
      </c>
    </row>
    <row r="44" spans="1:8" ht="25.5">
      <c r="A44" s="293" t="s">
        <v>274</v>
      </c>
      <c r="B44" s="169" t="s">
        <v>270</v>
      </c>
      <c r="C44" s="288" t="s">
        <v>275</v>
      </c>
      <c r="D44" s="253" t="s">
        <v>102</v>
      </c>
      <c r="E44" s="289" t="s">
        <v>106</v>
      </c>
      <c r="F44" s="290">
        <v>0.025</v>
      </c>
      <c r="G44" s="255">
        <v>18.31</v>
      </c>
      <c r="H44" s="256">
        <f t="shared" si="0"/>
        <v>0.45775</v>
      </c>
    </row>
    <row r="45" spans="1:8" ht="25.5">
      <c r="A45" s="293" t="s">
        <v>276</v>
      </c>
      <c r="B45" s="169" t="s">
        <v>270</v>
      </c>
      <c r="C45" s="288" t="s">
        <v>277</v>
      </c>
      <c r="D45" s="253" t="s">
        <v>102</v>
      </c>
      <c r="E45" s="289" t="s">
        <v>64</v>
      </c>
      <c r="F45" s="290">
        <v>0.02</v>
      </c>
      <c r="G45" s="255">
        <v>7.5</v>
      </c>
      <c r="H45" s="256">
        <f t="shared" si="0"/>
        <v>0.15</v>
      </c>
    </row>
    <row r="46" spans="1:8" ht="25.5">
      <c r="A46" s="293" t="s">
        <v>278</v>
      </c>
      <c r="B46" s="169" t="s">
        <v>270</v>
      </c>
      <c r="C46" s="288" t="s">
        <v>279</v>
      </c>
      <c r="D46" s="253" t="s">
        <v>102</v>
      </c>
      <c r="E46" s="289" t="s">
        <v>103</v>
      </c>
      <c r="F46" s="290">
        <v>1.089</v>
      </c>
      <c r="G46" s="255">
        <v>5.41</v>
      </c>
      <c r="H46" s="256">
        <f t="shared" si="0"/>
        <v>5.89149</v>
      </c>
    </row>
    <row r="47" spans="1:8" ht="25.5">
      <c r="A47" s="293" t="s">
        <v>280</v>
      </c>
      <c r="B47" s="169" t="s">
        <v>270</v>
      </c>
      <c r="C47" s="248" t="s">
        <v>281</v>
      </c>
      <c r="D47" s="253" t="s">
        <v>102</v>
      </c>
      <c r="E47" s="289" t="s">
        <v>265</v>
      </c>
      <c r="F47" s="290">
        <v>0.234</v>
      </c>
      <c r="G47" s="255">
        <v>60.03</v>
      </c>
      <c r="H47" s="256">
        <f t="shared" si="0"/>
        <v>14.047020000000002</v>
      </c>
    </row>
    <row r="48" spans="1:8" ht="25.5">
      <c r="A48" s="293" t="s">
        <v>282</v>
      </c>
      <c r="B48" s="169" t="s">
        <v>270</v>
      </c>
      <c r="C48" s="288" t="s">
        <v>283</v>
      </c>
      <c r="D48" s="253" t="s">
        <v>102</v>
      </c>
      <c r="E48" s="289" t="s">
        <v>106</v>
      </c>
      <c r="F48" s="290">
        <v>0.15</v>
      </c>
      <c r="G48" s="255">
        <v>24.8</v>
      </c>
      <c r="H48" s="256">
        <f t="shared" si="0"/>
        <v>3.7199999999999998</v>
      </c>
    </row>
    <row r="49" spans="1:8" ht="25.5">
      <c r="A49" s="293" t="s">
        <v>284</v>
      </c>
      <c r="B49" s="169" t="s">
        <v>270</v>
      </c>
      <c r="C49" s="288" t="s">
        <v>285</v>
      </c>
      <c r="D49" s="253" t="s">
        <v>102</v>
      </c>
      <c r="E49" s="289" t="s">
        <v>30</v>
      </c>
      <c r="F49" s="290">
        <v>0.00442</v>
      </c>
      <c r="G49" s="255">
        <v>2398.56</v>
      </c>
      <c r="H49" s="256">
        <f t="shared" si="0"/>
        <v>10.6016352</v>
      </c>
    </row>
    <row r="50" spans="1:8" ht="12.75">
      <c r="A50" s="397" t="s">
        <v>97</v>
      </c>
      <c r="B50" s="398"/>
      <c r="C50" s="398"/>
      <c r="D50" s="398"/>
      <c r="E50" s="398"/>
      <c r="F50" s="398"/>
      <c r="G50" s="398"/>
      <c r="H50" s="257">
        <f>H40+H41</f>
        <v>54.15249</v>
      </c>
    </row>
    <row r="51" spans="1:8" ht="12.75">
      <c r="A51" s="397" t="s">
        <v>98</v>
      </c>
      <c r="B51" s="398"/>
      <c r="C51" s="398"/>
      <c r="D51" s="398"/>
      <c r="E51" s="398"/>
      <c r="F51" s="398"/>
      <c r="G51" s="398"/>
      <c r="H51" s="257">
        <f>H42+H43+H44+H45+H46+H47+H48+H49</f>
        <v>39.4056952</v>
      </c>
    </row>
    <row r="52" spans="1:8" ht="12.75">
      <c r="A52" s="397" t="s">
        <v>99</v>
      </c>
      <c r="B52" s="398"/>
      <c r="C52" s="398"/>
      <c r="D52" s="398"/>
      <c r="E52" s="398"/>
      <c r="F52" s="398"/>
      <c r="G52" s="398"/>
      <c r="H52" s="257">
        <v>0</v>
      </c>
    </row>
    <row r="53" spans="1:8" ht="12.75">
      <c r="A53" s="399" t="s">
        <v>100</v>
      </c>
      <c r="B53" s="400"/>
      <c r="C53" s="400"/>
      <c r="D53" s="400"/>
      <c r="E53" s="400"/>
      <c r="F53" s="400"/>
      <c r="G53" s="400"/>
      <c r="H53" s="258">
        <f>H50+H51+H52</f>
        <v>93.5581852</v>
      </c>
    </row>
    <row r="54" spans="1:8" ht="12.75">
      <c r="A54" s="386" t="s">
        <v>117</v>
      </c>
      <c r="B54" s="387"/>
      <c r="C54" s="387"/>
      <c r="D54" s="387"/>
      <c r="E54" s="387"/>
      <c r="F54" s="387"/>
      <c r="G54" s="387"/>
      <c r="H54" s="388"/>
    </row>
    <row r="55" spans="1:8" ht="12.75">
      <c r="A55" s="386" t="s">
        <v>286</v>
      </c>
      <c r="B55" s="387"/>
      <c r="C55" s="387"/>
      <c r="D55" s="387"/>
      <c r="E55" s="387"/>
      <c r="F55" s="387"/>
      <c r="G55" s="387"/>
      <c r="H55" s="388"/>
    </row>
    <row r="56" spans="1:8" ht="12.75">
      <c r="A56" s="404"/>
      <c r="B56" s="405"/>
      <c r="C56" s="405"/>
      <c r="D56" s="405"/>
      <c r="E56" s="405"/>
      <c r="F56" s="405"/>
      <c r="G56" s="405"/>
      <c r="H56" s="406"/>
    </row>
    <row r="57" spans="1:8" ht="12.75">
      <c r="A57" s="386" t="s">
        <v>118</v>
      </c>
      <c r="B57" s="387"/>
      <c r="C57" s="387"/>
      <c r="D57" s="387"/>
      <c r="E57" s="387"/>
      <c r="F57" s="387"/>
      <c r="G57" s="387"/>
      <c r="H57" s="388"/>
    </row>
    <row r="58" spans="1:8" ht="12.75">
      <c r="A58" s="407" t="s">
        <v>451</v>
      </c>
      <c r="B58" s="408"/>
      <c r="C58" s="408"/>
      <c r="D58" s="408"/>
      <c r="E58" s="408"/>
      <c r="F58" s="408"/>
      <c r="G58" s="408"/>
      <c r="H58" s="409"/>
    </row>
    <row r="59" spans="1:8" ht="13.5" thickBot="1">
      <c r="A59" s="292"/>
      <c r="B59" s="292"/>
      <c r="C59" s="292"/>
      <c r="D59" s="292"/>
      <c r="E59" s="292"/>
      <c r="F59" s="292"/>
      <c r="G59" s="292"/>
      <c r="H59" s="292"/>
    </row>
    <row r="60" spans="1:8" ht="25.5">
      <c r="A60" s="395" t="s">
        <v>263</v>
      </c>
      <c r="B60" s="396"/>
      <c r="C60" s="156" t="s">
        <v>2</v>
      </c>
      <c r="D60" s="156" t="s">
        <v>88</v>
      </c>
      <c r="E60" s="156" t="s">
        <v>89</v>
      </c>
      <c r="F60" s="157" t="s">
        <v>90</v>
      </c>
      <c r="G60" s="250" t="s">
        <v>91</v>
      </c>
      <c r="H60" s="158" t="s">
        <v>92</v>
      </c>
    </row>
    <row r="61" spans="1:8" ht="12.75">
      <c r="A61" s="294" t="s">
        <v>93</v>
      </c>
      <c r="B61" s="159" t="s">
        <v>85</v>
      </c>
      <c r="C61" s="225" t="s">
        <v>264</v>
      </c>
      <c r="D61" s="287"/>
      <c r="E61" s="159" t="s">
        <v>35</v>
      </c>
      <c r="F61" s="160"/>
      <c r="G61" s="161"/>
      <c r="H61" s="162"/>
    </row>
    <row r="62" spans="1:8" ht="38.25">
      <c r="A62" s="295" t="s">
        <v>287</v>
      </c>
      <c r="B62" s="169" t="s">
        <v>32</v>
      </c>
      <c r="C62" s="6" t="s">
        <v>288</v>
      </c>
      <c r="D62" s="253" t="s">
        <v>102</v>
      </c>
      <c r="E62" s="296" t="s">
        <v>106</v>
      </c>
      <c r="F62" s="297">
        <v>22</v>
      </c>
      <c r="G62" s="255">
        <v>15.82</v>
      </c>
      <c r="H62" s="256">
        <f>F62*G62</f>
        <v>348.04</v>
      </c>
    </row>
    <row r="63" spans="1:8" ht="38.25">
      <c r="A63" s="295" t="s">
        <v>289</v>
      </c>
      <c r="B63" s="169" t="s">
        <v>32</v>
      </c>
      <c r="C63" s="6" t="s">
        <v>290</v>
      </c>
      <c r="D63" s="253" t="s">
        <v>102</v>
      </c>
      <c r="E63" s="296" t="s">
        <v>106</v>
      </c>
      <c r="F63" s="297">
        <v>55</v>
      </c>
      <c r="G63" s="255">
        <v>11.2</v>
      </c>
      <c r="H63" s="256">
        <f>F63*G63</f>
        <v>616</v>
      </c>
    </row>
    <row r="64" spans="1:8" ht="12.75">
      <c r="A64" s="397" t="s">
        <v>97</v>
      </c>
      <c r="B64" s="398"/>
      <c r="C64" s="398"/>
      <c r="D64" s="398"/>
      <c r="E64" s="398"/>
      <c r="F64" s="398"/>
      <c r="G64" s="398"/>
      <c r="H64" s="257"/>
    </row>
    <row r="65" spans="1:8" ht="12.75">
      <c r="A65" s="397" t="s">
        <v>98</v>
      </c>
      <c r="B65" s="398"/>
      <c r="C65" s="398"/>
      <c r="D65" s="398"/>
      <c r="E65" s="398"/>
      <c r="F65" s="398"/>
      <c r="G65" s="398"/>
      <c r="H65" s="257">
        <f>ROUND((H62+H63),2)</f>
        <v>964.04</v>
      </c>
    </row>
    <row r="66" spans="1:8" ht="12.75">
      <c r="A66" s="397" t="s">
        <v>99</v>
      </c>
      <c r="B66" s="398"/>
      <c r="C66" s="398"/>
      <c r="D66" s="398"/>
      <c r="E66" s="398"/>
      <c r="F66" s="398"/>
      <c r="G66" s="398"/>
      <c r="H66" s="257">
        <v>0</v>
      </c>
    </row>
    <row r="67" spans="1:8" ht="12.75">
      <c r="A67" s="399" t="s">
        <v>100</v>
      </c>
      <c r="B67" s="400"/>
      <c r="C67" s="400"/>
      <c r="D67" s="400"/>
      <c r="E67" s="400"/>
      <c r="F67" s="400"/>
      <c r="G67" s="400"/>
      <c r="H67" s="258">
        <f>ROUND((H64+H65+H66),2)</f>
        <v>964.04</v>
      </c>
    </row>
    <row r="68" spans="1:8" ht="12.75">
      <c r="A68" s="401"/>
      <c r="B68" s="402"/>
      <c r="C68" s="402"/>
      <c r="D68" s="402"/>
      <c r="E68" s="402"/>
      <c r="F68" s="402"/>
      <c r="G68" s="402"/>
      <c r="H68" s="403"/>
    </row>
    <row r="69" spans="1:8" ht="12.75">
      <c r="A69" s="386" t="s">
        <v>117</v>
      </c>
      <c r="B69" s="387"/>
      <c r="C69" s="387"/>
      <c r="D69" s="387"/>
      <c r="E69" s="387"/>
      <c r="F69" s="387"/>
      <c r="G69" s="387"/>
      <c r="H69" s="388"/>
    </row>
    <row r="70" spans="1:8" ht="12.75">
      <c r="A70" s="386" t="s">
        <v>291</v>
      </c>
      <c r="B70" s="387"/>
      <c r="C70" s="387"/>
      <c r="D70" s="387"/>
      <c r="E70" s="387"/>
      <c r="F70" s="387"/>
      <c r="G70" s="387"/>
      <c r="H70" s="388"/>
    </row>
    <row r="71" spans="1:8" ht="12.75">
      <c r="A71" s="389"/>
      <c r="B71" s="390"/>
      <c r="C71" s="390"/>
      <c r="D71" s="390"/>
      <c r="E71" s="390"/>
      <c r="F71" s="390"/>
      <c r="G71" s="390"/>
      <c r="H71" s="391"/>
    </row>
    <row r="72" spans="1:8" ht="12.75">
      <c r="A72" s="386" t="s">
        <v>118</v>
      </c>
      <c r="B72" s="387"/>
      <c r="C72" s="387"/>
      <c r="D72" s="387"/>
      <c r="E72" s="387"/>
      <c r="F72" s="387"/>
      <c r="G72" s="387"/>
      <c r="H72" s="388"/>
    </row>
    <row r="73" spans="1:8" ht="13.5" thickBot="1">
      <c r="A73" s="392" t="s">
        <v>451</v>
      </c>
      <c r="B73" s="393"/>
      <c r="C73" s="393"/>
      <c r="D73" s="393"/>
      <c r="E73" s="393"/>
      <c r="F73" s="393"/>
      <c r="G73" s="393"/>
      <c r="H73" s="394"/>
    </row>
    <row r="74" spans="1:8" ht="13.5" customHeight="1" thickBot="1">
      <c r="A74" s="298"/>
      <c r="B74" s="299"/>
      <c r="C74" s="299"/>
      <c r="D74" s="299"/>
      <c r="E74" s="299"/>
      <c r="F74" s="300"/>
      <c r="G74" s="301"/>
      <c r="H74" s="302"/>
    </row>
    <row r="75" spans="1:8" ht="25.5">
      <c r="A75" s="440" t="s">
        <v>160</v>
      </c>
      <c r="B75" s="441"/>
      <c r="C75" s="221" t="s">
        <v>145</v>
      </c>
      <c r="D75" s="156" t="s">
        <v>88</v>
      </c>
      <c r="E75" s="156" t="s">
        <v>89</v>
      </c>
      <c r="F75" s="157" t="s">
        <v>90</v>
      </c>
      <c r="G75" s="222" t="s">
        <v>91</v>
      </c>
      <c r="H75" s="158" t="s">
        <v>92</v>
      </c>
    </row>
    <row r="76" spans="1:8" ht="51">
      <c r="A76" s="223" t="s">
        <v>86</v>
      </c>
      <c r="B76" s="224" t="s">
        <v>116</v>
      </c>
      <c r="C76" s="225" t="s">
        <v>375</v>
      </c>
      <c r="D76" s="225"/>
      <c r="E76" s="226" t="s">
        <v>29</v>
      </c>
      <c r="F76" s="226"/>
      <c r="G76" s="226"/>
      <c r="H76" s="227"/>
    </row>
    <row r="77" spans="1:8" ht="25.5">
      <c r="A77" s="319"/>
      <c r="B77" s="36" t="s">
        <v>161</v>
      </c>
      <c r="C77" s="229" t="s">
        <v>376</v>
      </c>
      <c r="D77" s="230" t="s">
        <v>102</v>
      </c>
      <c r="E77" s="231" t="s">
        <v>29</v>
      </c>
      <c r="F77" s="320" t="s">
        <v>377</v>
      </c>
      <c r="G77" s="243">
        <v>55.9</v>
      </c>
      <c r="H77" s="321">
        <f>F77*G77</f>
        <v>59.254000000000005</v>
      </c>
    </row>
    <row r="78" spans="1:8" ht="25.5">
      <c r="A78" s="228">
        <v>1381</v>
      </c>
      <c r="B78" s="169" t="s">
        <v>378</v>
      </c>
      <c r="C78" s="232" t="s">
        <v>379</v>
      </c>
      <c r="D78" s="230" t="s">
        <v>102</v>
      </c>
      <c r="E78" s="244" t="s">
        <v>29</v>
      </c>
      <c r="F78" s="244" t="s">
        <v>380</v>
      </c>
      <c r="G78" s="243">
        <v>0.95</v>
      </c>
      <c r="H78" s="321">
        <f>F78*G78</f>
        <v>4.617</v>
      </c>
    </row>
    <row r="79" spans="1:8" ht="25.5">
      <c r="A79" s="228">
        <v>34357</v>
      </c>
      <c r="B79" s="169" t="s">
        <v>378</v>
      </c>
      <c r="C79" s="232" t="s">
        <v>381</v>
      </c>
      <c r="D79" s="230" t="s">
        <v>102</v>
      </c>
      <c r="E79" s="244" t="s">
        <v>106</v>
      </c>
      <c r="F79" s="244" t="s">
        <v>382</v>
      </c>
      <c r="G79" s="243">
        <v>5.57</v>
      </c>
      <c r="H79" s="321">
        <f>F79*G79</f>
        <v>2.3394</v>
      </c>
    </row>
    <row r="80" spans="1:8" ht="12.75">
      <c r="A80" s="228">
        <v>88256</v>
      </c>
      <c r="B80" s="168" t="s">
        <v>32</v>
      </c>
      <c r="C80" s="232" t="s">
        <v>383</v>
      </c>
      <c r="D80" s="233" t="s">
        <v>94</v>
      </c>
      <c r="E80" s="244" t="s">
        <v>33</v>
      </c>
      <c r="F80" s="244" t="s">
        <v>384</v>
      </c>
      <c r="G80" s="243">
        <v>26.38</v>
      </c>
      <c r="H80" s="321">
        <f>F80*G80</f>
        <v>18.993599999999997</v>
      </c>
    </row>
    <row r="81" spans="1:8" ht="12.75">
      <c r="A81" s="228">
        <v>88316</v>
      </c>
      <c r="B81" s="168" t="s">
        <v>32</v>
      </c>
      <c r="C81" s="232" t="s">
        <v>96</v>
      </c>
      <c r="D81" s="233" t="s">
        <v>94</v>
      </c>
      <c r="E81" s="244" t="s">
        <v>33</v>
      </c>
      <c r="F81" s="244" t="s">
        <v>385</v>
      </c>
      <c r="G81" s="243">
        <v>21.28</v>
      </c>
      <c r="H81" s="321">
        <f>F81*G81</f>
        <v>8.086400000000001</v>
      </c>
    </row>
    <row r="82" spans="1:8" ht="12.75">
      <c r="A82" s="422" t="s">
        <v>97</v>
      </c>
      <c r="B82" s="423"/>
      <c r="C82" s="423"/>
      <c r="D82" s="423"/>
      <c r="E82" s="423"/>
      <c r="F82" s="423"/>
      <c r="G82" s="423"/>
      <c r="H82" s="164">
        <f>H80+H81</f>
        <v>27.08</v>
      </c>
    </row>
    <row r="83" spans="1:8" ht="13.5" customHeight="1">
      <c r="A83" s="422" t="s">
        <v>98</v>
      </c>
      <c r="B83" s="423"/>
      <c r="C83" s="423"/>
      <c r="D83" s="423"/>
      <c r="E83" s="423"/>
      <c r="F83" s="423"/>
      <c r="G83" s="423"/>
      <c r="H83" s="164">
        <f>H77+H78+H79</f>
        <v>66.2104</v>
      </c>
    </row>
    <row r="84" spans="1:8" ht="12.75">
      <c r="A84" s="422" t="s">
        <v>99</v>
      </c>
      <c r="B84" s="423"/>
      <c r="C84" s="423"/>
      <c r="D84" s="423"/>
      <c r="E84" s="423"/>
      <c r="F84" s="423"/>
      <c r="G84" s="423"/>
      <c r="H84" s="164">
        <v>0</v>
      </c>
    </row>
    <row r="85" spans="1:8" ht="12.75">
      <c r="A85" s="424" t="s">
        <v>100</v>
      </c>
      <c r="B85" s="425"/>
      <c r="C85" s="425"/>
      <c r="D85" s="425"/>
      <c r="E85" s="425"/>
      <c r="F85" s="425"/>
      <c r="G85" s="425"/>
      <c r="H85" s="165">
        <f>H82+H83+H84</f>
        <v>93.2904</v>
      </c>
    </row>
    <row r="86" spans="1:8" ht="13.5" customHeight="1">
      <c r="A86" s="386" t="s">
        <v>117</v>
      </c>
      <c r="B86" s="426"/>
      <c r="C86" s="426"/>
      <c r="D86" s="426"/>
      <c r="E86" s="426"/>
      <c r="F86" s="426"/>
      <c r="G86" s="426"/>
      <c r="H86" s="388"/>
    </row>
    <row r="87" spans="1:8" ht="28.5" customHeight="1">
      <c r="A87" s="386" t="s">
        <v>386</v>
      </c>
      <c r="B87" s="426"/>
      <c r="C87" s="426"/>
      <c r="D87" s="426"/>
      <c r="E87" s="426"/>
      <c r="F87" s="426"/>
      <c r="G87" s="426"/>
      <c r="H87" s="388"/>
    </row>
    <row r="88" spans="1:8" ht="12.75">
      <c r="A88" s="427"/>
      <c r="B88" s="428"/>
      <c r="C88" s="428"/>
      <c r="D88" s="428"/>
      <c r="E88" s="428"/>
      <c r="F88" s="428"/>
      <c r="G88" s="428"/>
      <c r="H88" s="429"/>
    </row>
    <row r="89" spans="1:8" ht="12.75">
      <c r="A89" s="417" t="s">
        <v>118</v>
      </c>
      <c r="B89" s="418"/>
      <c r="C89" s="418"/>
      <c r="D89" s="418"/>
      <c r="E89" s="418"/>
      <c r="F89" s="418"/>
      <c r="G89" s="418"/>
      <c r="H89" s="419"/>
    </row>
    <row r="90" spans="1:8" ht="13.5" thickBot="1">
      <c r="A90" s="392" t="s">
        <v>451</v>
      </c>
      <c r="B90" s="393"/>
      <c r="C90" s="393"/>
      <c r="D90" s="393"/>
      <c r="E90" s="393"/>
      <c r="F90" s="393"/>
      <c r="G90" s="393"/>
      <c r="H90" s="394"/>
    </row>
    <row r="91" spans="1:8" s="234" customFormat="1" ht="13.5" thickBot="1">
      <c r="A91" s="322"/>
      <c r="B91" s="323"/>
      <c r="C91" s="323"/>
      <c r="D91" s="323"/>
      <c r="E91" s="323"/>
      <c r="F91" s="323"/>
      <c r="G91" s="323"/>
      <c r="H91" s="324"/>
    </row>
    <row r="92" spans="1:8" ht="25.5">
      <c r="A92" s="420" t="s">
        <v>171</v>
      </c>
      <c r="B92" s="421"/>
      <c r="C92" s="221" t="s">
        <v>145</v>
      </c>
      <c r="D92" s="156" t="s">
        <v>88</v>
      </c>
      <c r="E92" s="156" t="s">
        <v>89</v>
      </c>
      <c r="F92" s="157" t="s">
        <v>90</v>
      </c>
      <c r="G92" s="222" t="s">
        <v>91</v>
      </c>
      <c r="H92" s="158" t="s">
        <v>92</v>
      </c>
    </row>
    <row r="93" spans="1:8" ht="12.75">
      <c r="A93" s="223" t="s">
        <v>86</v>
      </c>
      <c r="B93" s="224" t="s">
        <v>116</v>
      </c>
      <c r="C93" s="225" t="s">
        <v>465</v>
      </c>
      <c r="D93" s="225"/>
      <c r="E93" s="226" t="s">
        <v>29</v>
      </c>
      <c r="F93" s="226"/>
      <c r="G93" s="226"/>
      <c r="H93" s="227"/>
    </row>
    <row r="94" spans="1:8" ht="12.75">
      <c r="A94" s="228">
        <v>88316</v>
      </c>
      <c r="B94" s="168" t="s">
        <v>32</v>
      </c>
      <c r="C94" s="232" t="s">
        <v>96</v>
      </c>
      <c r="D94" s="233" t="s">
        <v>94</v>
      </c>
      <c r="E94" s="244" t="s">
        <v>33</v>
      </c>
      <c r="F94" s="249">
        <v>0.5</v>
      </c>
      <c r="G94" s="243">
        <v>21.28</v>
      </c>
      <c r="H94" s="163">
        <f>ROUND(G94*F94,2)</f>
        <v>10.64</v>
      </c>
    </row>
    <row r="95" spans="1:8" ht="12.75">
      <c r="A95" s="228">
        <v>88245</v>
      </c>
      <c r="B95" s="36" t="s">
        <v>32</v>
      </c>
      <c r="C95" s="6" t="s">
        <v>467</v>
      </c>
      <c r="D95" s="230" t="s">
        <v>94</v>
      </c>
      <c r="E95" s="231" t="s">
        <v>33</v>
      </c>
      <c r="F95" s="249">
        <v>1.5</v>
      </c>
      <c r="G95" s="243">
        <v>26.31</v>
      </c>
      <c r="H95" s="163">
        <f aca="true" t="shared" si="1" ref="H95:H104">ROUND(G95*F95,2)</f>
        <v>39.47</v>
      </c>
    </row>
    <row r="96" spans="1:8" ht="12.75">
      <c r="A96" s="228">
        <v>88239</v>
      </c>
      <c r="B96" s="36" t="s">
        <v>32</v>
      </c>
      <c r="C96" s="6" t="s">
        <v>466</v>
      </c>
      <c r="D96" s="230" t="s">
        <v>94</v>
      </c>
      <c r="E96" s="231" t="s">
        <v>33</v>
      </c>
      <c r="F96" s="249">
        <v>1.1</v>
      </c>
      <c r="G96" s="243">
        <v>22.1</v>
      </c>
      <c r="H96" s="163">
        <f t="shared" si="1"/>
        <v>24.31</v>
      </c>
    </row>
    <row r="97" spans="1:8" ht="25.5">
      <c r="A97" s="228">
        <v>5061</v>
      </c>
      <c r="B97" s="36" t="s">
        <v>469</v>
      </c>
      <c r="C97" s="248" t="s">
        <v>468</v>
      </c>
      <c r="D97" s="230" t="s">
        <v>102</v>
      </c>
      <c r="E97" s="231" t="s">
        <v>106</v>
      </c>
      <c r="F97" s="249">
        <v>0.1</v>
      </c>
      <c r="G97" s="243">
        <v>18</v>
      </c>
      <c r="H97" s="163">
        <f t="shared" si="1"/>
        <v>1.8</v>
      </c>
    </row>
    <row r="98" spans="1:8" ht="25.5">
      <c r="A98" s="228">
        <v>11135</v>
      </c>
      <c r="B98" s="36" t="s">
        <v>469</v>
      </c>
      <c r="C98" s="248" t="s">
        <v>470</v>
      </c>
      <c r="D98" s="230" t="s">
        <v>102</v>
      </c>
      <c r="E98" s="231" t="s">
        <v>29</v>
      </c>
      <c r="F98" s="249">
        <v>1.25</v>
      </c>
      <c r="G98" s="243">
        <v>74.52</v>
      </c>
      <c r="H98" s="163">
        <f t="shared" si="1"/>
        <v>93.15</v>
      </c>
    </row>
    <row r="99" spans="1:8" ht="25.5">
      <c r="A99" s="228">
        <v>4721</v>
      </c>
      <c r="B99" s="36" t="s">
        <v>469</v>
      </c>
      <c r="C99" s="248" t="s">
        <v>471</v>
      </c>
      <c r="D99" s="230" t="s">
        <v>102</v>
      </c>
      <c r="E99" s="231" t="s">
        <v>30</v>
      </c>
      <c r="F99" s="249">
        <v>0.04</v>
      </c>
      <c r="G99" s="243">
        <v>104.48</v>
      </c>
      <c r="H99" s="163">
        <f t="shared" si="1"/>
        <v>4.18</v>
      </c>
    </row>
    <row r="100" spans="1:8" ht="25.5">
      <c r="A100" s="293" t="s">
        <v>472</v>
      </c>
      <c r="B100" s="169" t="s">
        <v>469</v>
      </c>
      <c r="C100" s="288" t="s">
        <v>283</v>
      </c>
      <c r="D100" s="253" t="s">
        <v>102</v>
      </c>
      <c r="E100" s="289" t="s">
        <v>106</v>
      </c>
      <c r="F100" s="249">
        <v>0.75</v>
      </c>
      <c r="G100" s="243">
        <v>24.8</v>
      </c>
      <c r="H100" s="163">
        <f t="shared" si="1"/>
        <v>18.6</v>
      </c>
    </row>
    <row r="101" spans="1:8" ht="25.5">
      <c r="A101" s="228">
        <v>1379</v>
      </c>
      <c r="B101" s="36" t="s">
        <v>469</v>
      </c>
      <c r="C101" s="248" t="s">
        <v>473</v>
      </c>
      <c r="D101" s="230" t="s">
        <v>102</v>
      </c>
      <c r="E101" s="231" t="s">
        <v>106</v>
      </c>
      <c r="F101" s="249">
        <v>18.04</v>
      </c>
      <c r="G101" s="243">
        <v>0.7</v>
      </c>
      <c r="H101" s="163">
        <f t="shared" si="1"/>
        <v>12.63</v>
      </c>
    </row>
    <row r="102" spans="1:8" ht="25.5">
      <c r="A102" s="228">
        <v>34449</v>
      </c>
      <c r="B102" s="36" t="s">
        <v>469</v>
      </c>
      <c r="C102" s="248" t="s">
        <v>474</v>
      </c>
      <c r="D102" s="230" t="s">
        <v>102</v>
      </c>
      <c r="E102" s="231" t="s">
        <v>106</v>
      </c>
      <c r="F102" s="249">
        <v>38.15</v>
      </c>
      <c r="G102" s="243">
        <v>11.54</v>
      </c>
      <c r="H102" s="163">
        <f t="shared" si="1"/>
        <v>440.25</v>
      </c>
    </row>
    <row r="103" spans="1:8" ht="25.5">
      <c r="A103" s="228">
        <v>367</v>
      </c>
      <c r="B103" s="36" t="s">
        <v>469</v>
      </c>
      <c r="C103" s="248" t="s">
        <v>475</v>
      </c>
      <c r="D103" s="230" t="s">
        <v>102</v>
      </c>
      <c r="E103" s="231" t="s">
        <v>30</v>
      </c>
      <c r="F103" s="249">
        <v>0.03</v>
      </c>
      <c r="G103" s="243">
        <v>131.69</v>
      </c>
      <c r="H103" s="163">
        <f t="shared" si="1"/>
        <v>3.95</v>
      </c>
    </row>
    <row r="104" spans="1:8" ht="38.25">
      <c r="A104" s="228">
        <v>89225</v>
      </c>
      <c r="B104" s="169" t="s">
        <v>32</v>
      </c>
      <c r="C104" s="6" t="s">
        <v>476</v>
      </c>
      <c r="D104" s="230" t="s">
        <v>477</v>
      </c>
      <c r="E104" s="244" t="s">
        <v>478</v>
      </c>
      <c r="F104" s="249">
        <v>0.04</v>
      </c>
      <c r="G104" s="243">
        <v>5.85</v>
      </c>
      <c r="H104" s="163">
        <f t="shared" si="1"/>
        <v>0.23</v>
      </c>
    </row>
    <row r="105" spans="1:8" ht="12.75">
      <c r="A105" s="422" t="s">
        <v>97</v>
      </c>
      <c r="B105" s="423"/>
      <c r="C105" s="423"/>
      <c r="D105" s="423"/>
      <c r="E105" s="423"/>
      <c r="F105" s="423"/>
      <c r="G105" s="423"/>
      <c r="H105" s="164">
        <f>H94+H95+H96</f>
        <v>74.42</v>
      </c>
    </row>
    <row r="106" spans="1:8" ht="12.75">
      <c r="A106" s="422" t="s">
        <v>98</v>
      </c>
      <c r="B106" s="423"/>
      <c r="C106" s="423"/>
      <c r="D106" s="423"/>
      <c r="E106" s="423"/>
      <c r="F106" s="423"/>
      <c r="G106" s="423"/>
      <c r="H106" s="164">
        <f>H97+H98+H99+H100+H101+H102+H103</f>
        <v>574.5600000000001</v>
      </c>
    </row>
    <row r="107" spans="1:8" ht="12.75">
      <c r="A107" s="422" t="s">
        <v>99</v>
      </c>
      <c r="B107" s="423"/>
      <c r="C107" s="423"/>
      <c r="D107" s="423"/>
      <c r="E107" s="423"/>
      <c r="F107" s="423"/>
      <c r="G107" s="423"/>
      <c r="H107" s="164">
        <f>H104</f>
        <v>0.23</v>
      </c>
    </row>
    <row r="108" spans="1:8" ht="12.75">
      <c r="A108" s="424" t="s">
        <v>100</v>
      </c>
      <c r="B108" s="425"/>
      <c r="C108" s="425"/>
      <c r="D108" s="425"/>
      <c r="E108" s="425"/>
      <c r="F108" s="425"/>
      <c r="G108" s="425"/>
      <c r="H108" s="165">
        <f>H105+H106+H107</f>
        <v>649.21</v>
      </c>
    </row>
    <row r="109" spans="1:8" ht="12.75">
      <c r="A109" s="386" t="s">
        <v>117</v>
      </c>
      <c r="B109" s="426"/>
      <c r="C109" s="426"/>
      <c r="D109" s="426"/>
      <c r="E109" s="426"/>
      <c r="F109" s="426"/>
      <c r="G109" s="426"/>
      <c r="H109" s="388"/>
    </row>
    <row r="110" spans="1:8" ht="27" customHeight="1">
      <c r="A110" s="386" t="s">
        <v>479</v>
      </c>
      <c r="B110" s="426"/>
      <c r="C110" s="426"/>
      <c r="D110" s="426"/>
      <c r="E110" s="426"/>
      <c r="F110" s="426"/>
      <c r="G110" s="426"/>
      <c r="H110" s="388"/>
    </row>
    <row r="111" spans="1:8" ht="12.75">
      <c r="A111" s="427"/>
      <c r="B111" s="428"/>
      <c r="C111" s="428"/>
      <c r="D111" s="428"/>
      <c r="E111" s="428"/>
      <c r="F111" s="428"/>
      <c r="G111" s="428"/>
      <c r="H111" s="429"/>
    </row>
    <row r="112" spans="1:8" ht="12.75">
      <c r="A112" s="417" t="s">
        <v>118</v>
      </c>
      <c r="B112" s="418"/>
      <c r="C112" s="418"/>
      <c r="D112" s="418"/>
      <c r="E112" s="418"/>
      <c r="F112" s="418"/>
      <c r="G112" s="418"/>
      <c r="H112" s="419"/>
    </row>
    <row r="113" spans="1:8" ht="13.5" thickBot="1">
      <c r="A113" s="392" t="s">
        <v>451</v>
      </c>
      <c r="B113" s="393"/>
      <c r="C113" s="393"/>
      <c r="D113" s="393"/>
      <c r="E113" s="393"/>
      <c r="F113" s="393"/>
      <c r="G113" s="393"/>
      <c r="H113" s="394"/>
    </row>
    <row r="114" spans="1:8" ht="13.5" thickBot="1">
      <c r="A114" s="245"/>
      <c r="B114" s="246"/>
      <c r="C114" s="246"/>
      <c r="D114" s="246"/>
      <c r="E114" s="246"/>
      <c r="F114" s="246"/>
      <c r="G114" s="246"/>
      <c r="H114" s="247"/>
    </row>
    <row r="115" spans="1:8" ht="25.5">
      <c r="A115" s="420" t="s">
        <v>172</v>
      </c>
      <c r="B115" s="421"/>
      <c r="C115" s="156" t="s">
        <v>2</v>
      </c>
      <c r="D115" s="156" t="s">
        <v>88</v>
      </c>
      <c r="E115" s="156" t="s">
        <v>89</v>
      </c>
      <c r="F115" s="157" t="s">
        <v>90</v>
      </c>
      <c r="G115" s="250" t="s">
        <v>91</v>
      </c>
      <c r="H115" s="251" t="s">
        <v>92</v>
      </c>
    </row>
    <row r="116" spans="1:8" ht="25.5">
      <c r="A116" s="252" t="s">
        <v>86</v>
      </c>
      <c r="B116" s="159" t="s">
        <v>116</v>
      </c>
      <c r="C116" s="225" t="s">
        <v>173</v>
      </c>
      <c r="D116" s="159"/>
      <c r="E116" s="159" t="s">
        <v>29</v>
      </c>
      <c r="F116" s="160"/>
      <c r="G116" s="161"/>
      <c r="H116" s="162"/>
    </row>
    <row r="117" spans="1:8" ht="12.75">
      <c r="A117" s="4"/>
      <c r="B117" s="36" t="s">
        <v>161</v>
      </c>
      <c r="C117" s="6" t="s">
        <v>174</v>
      </c>
      <c r="D117" s="253" t="s">
        <v>102</v>
      </c>
      <c r="E117" s="254" t="s">
        <v>103</v>
      </c>
      <c r="F117" s="254">
        <v>7</v>
      </c>
      <c r="G117" s="255">
        <v>51.67</v>
      </c>
      <c r="H117" s="256">
        <f>ROUND(G117*F117,2)</f>
        <v>361.69</v>
      </c>
    </row>
    <row r="118" spans="1:8" ht="25.5">
      <c r="A118" s="4" t="s">
        <v>164</v>
      </c>
      <c r="B118" s="36" t="s">
        <v>108</v>
      </c>
      <c r="C118" s="6" t="s">
        <v>165</v>
      </c>
      <c r="D118" s="253" t="s">
        <v>102</v>
      </c>
      <c r="E118" s="254" t="s">
        <v>103</v>
      </c>
      <c r="F118" s="254">
        <v>2</v>
      </c>
      <c r="G118" s="255">
        <v>12.54</v>
      </c>
      <c r="H118" s="256">
        <f>ROUND(G118*F118,2)</f>
        <v>25.08</v>
      </c>
    </row>
    <row r="119" spans="1:8" ht="12.75">
      <c r="A119" s="4" t="s">
        <v>166</v>
      </c>
      <c r="B119" s="36" t="s">
        <v>109</v>
      </c>
      <c r="C119" s="6" t="s">
        <v>167</v>
      </c>
      <c r="D119" s="253" t="s">
        <v>94</v>
      </c>
      <c r="E119" s="254" t="s">
        <v>33</v>
      </c>
      <c r="F119" s="254">
        <v>1.5</v>
      </c>
      <c r="G119" s="255">
        <v>26.31</v>
      </c>
      <c r="H119" s="256">
        <f>ROUND(G119*F119,2)</f>
        <v>39.47</v>
      </c>
    </row>
    <row r="120" spans="1:8" ht="12.75">
      <c r="A120" s="4" t="s">
        <v>95</v>
      </c>
      <c r="B120" s="36" t="s">
        <v>109</v>
      </c>
      <c r="C120" s="6" t="s">
        <v>96</v>
      </c>
      <c r="D120" s="253" t="s">
        <v>94</v>
      </c>
      <c r="E120" s="254" t="s">
        <v>33</v>
      </c>
      <c r="F120" s="254">
        <v>1.6</v>
      </c>
      <c r="G120" s="255">
        <v>21.28</v>
      </c>
      <c r="H120" s="256">
        <f>ROUND(G120*F120,2)</f>
        <v>34.05</v>
      </c>
    </row>
    <row r="121" spans="1:8" ht="25.5">
      <c r="A121" s="4" t="s">
        <v>168</v>
      </c>
      <c r="B121" s="36" t="s">
        <v>109</v>
      </c>
      <c r="C121" s="6" t="s">
        <v>169</v>
      </c>
      <c r="D121" s="253" t="s">
        <v>102</v>
      </c>
      <c r="E121" s="254" t="s">
        <v>30</v>
      </c>
      <c r="F121" s="254">
        <v>0.004</v>
      </c>
      <c r="G121" s="255">
        <v>598.58</v>
      </c>
      <c r="H121" s="256">
        <f>ROUND(G121*F121,2)</f>
        <v>2.39</v>
      </c>
    </row>
    <row r="122" spans="1:8" ht="12.75">
      <c r="A122" s="397" t="s">
        <v>97</v>
      </c>
      <c r="B122" s="398"/>
      <c r="C122" s="398"/>
      <c r="D122" s="398"/>
      <c r="E122" s="398"/>
      <c r="F122" s="398"/>
      <c r="G122" s="398"/>
      <c r="H122" s="257">
        <f>H119+H120</f>
        <v>73.52</v>
      </c>
    </row>
    <row r="123" spans="1:8" ht="12.75">
      <c r="A123" s="397" t="s">
        <v>98</v>
      </c>
      <c r="B123" s="398"/>
      <c r="C123" s="398"/>
      <c r="D123" s="398"/>
      <c r="E123" s="398"/>
      <c r="F123" s="398"/>
      <c r="G123" s="398"/>
      <c r="H123" s="257">
        <f>H117+H118+H121</f>
        <v>389.15999999999997</v>
      </c>
    </row>
    <row r="124" spans="1:8" ht="12.75">
      <c r="A124" s="397" t="s">
        <v>99</v>
      </c>
      <c r="B124" s="398"/>
      <c r="C124" s="398"/>
      <c r="D124" s="398"/>
      <c r="E124" s="398"/>
      <c r="F124" s="398"/>
      <c r="G124" s="398"/>
      <c r="H124" s="257">
        <v>0</v>
      </c>
    </row>
    <row r="125" spans="1:8" ht="12.75">
      <c r="A125" s="399" t="s">
        <v>100</v>
      </c>
      <c r="B125" s="400"/>
      <c r="C125" s="400"/>
      <c r="D125" s="400"/>
      <c r="E125" s="400"/>
      <c r="F125" s="400"/>
      <c r="G125" s="400"/>
      <c r="H125" s="258">
        <f>H122+H123+H124</f>
        <v>462.67999999999995</v>
      </c>
    </row>
    <row r="126" spans="1:8" ht="12.75">
      <c r="A126" s="410"/>
      <c r="B126" s="411"/>
      <c r="C126" s="411"/>
      <c r="D126" s="411"/>
      <c r="E126" s="411"/>
      <c r="F126" s="411"/>
      <c r="G126" s="411"/>
      <c r="H126" s="412"/>
    </row>
    <row r="127" spans="1:8" ht="12.75">
      <c r="A127" s="386" t="s">
        <v>117</v>
      </c>
      <c r="B127" s="426"/>
      <c r="C127" s="426"/>
      <c r="D127" s="426"/>
      <c r="E127" s="426"/>
      <c r="F127" s="426"/>
      <c r="G127" s="426"/>
      <c r="H127" s="388"/>
    </row>
    <row r="128" spans="1:8" ht="12.75">
      <c r="A128" s="386" t="s">
        <v>175</v>
      </c>
      <c r="B128" s="426"/>
      <c r="C128" s="426"/>
      <c r="D128" s="426"/>
      <c r="E128" s="426"/>
      <c r="F128" s="426"/>
      <c r="G128" s="426"/>
      <c r="H128" s="388"/>
    </row>
    <row r="129" spans="1:8" ht="12.75">
      <c r="A129" s="404"/>
      <c r="B129" s="439"/>
      <c r="C129" s="439"/>
      <c r="D129" s="439"/>
      <c r="E129" s="439"/>
      <c r="F129" s="439"/>
      <c r="G129" s="439"/>
      <c r="H129" s="406"/>
    </row>
    <row r="130" spans="1:8" ht="12.75">
      <c r="A130" s="386" t="s">
        <v>118</v>
      </c>
      <c r="B130" s="426"/>
      <c r="C130" s="426"/>
      <c r="D130" s="426"/>
      <c r="E130" s="426"/>
      <c r="F130" s="426"/>
      <c r="G130" s="426"/>
      <c r="H130" s="388"/>
    </row>
    <row r="131" spans="1:8" ht="12.75">
      <c r="A131" s="430" t="s">
        <v>338</v>
      </c>
      <c r="B131" s="431"/>
      <c r="C131" s="431"/>
      <c r="D131" s="431"/>
      <c r="E131" s="431"/>
      <c r="F131" s="431"/>
      <c r="G131" s="431"/>
      <c r="H131" s="432"/>
    </row>
    <row r="132" spans="1:8" ht="13.5" thickBot="1">
      <c r="A132" s="235"/>
      <c r="B132" s="236"/>
      <c r="C132" s="236"/>
      <c r="D132" s="236"/>
      <c r="E132" s="236"/>
      <c r="F132" s="236"/>
      <c r="G132" s="236"/>
      <c r="H132" s="237"/>
    </row>
  </sheetData>
  <sheetProtection/>
  <mergeCells count="80">
    <mergeCell ref="A1:H1"/>
    <mergeCell ref="A4:H4"/>
    <mergeCell ref="A5:H5"/>
    <mergeCell ref="A127:H127"/>
    <mergeCell ref="A128:H128"/>
    <mergeCell ref="A129:H129"/>
    <mergeCell ref="A126:H126"/>
    <mergeCell ref="A85:G85"/>
    <mergeCell ref="A86:H86"/>
    <mergeCell ref="A75:B75"/>
    <mergeCell ref="A130:H130"/>
    <mergeCell ref="A131:H131"/>
    <mergeCell ref="A2:H2"/>
    <mergeCell ref="A83:G83"/>
    <mergeCell ref="A84:G84"/>
    <mergeCell ref="A64:G64"/>
    <mergeCell ref="A65:G65"/>
    <mergeCell ref="A66:G66"/>
    <mergeCell ref="A67:G67"/>
    <mergeCell ref="A125:G125"/>
    <mergeCell ref="A82:G82"/>
    <mergeCell ref="A92:B92"/>
    <mergeCell ref="A105:G105"/>
    <mergeCell ref="A87:H87"/>
    <mergeCell ref="A88:H88"/>
    <mergeCell ref="A89:H89"/>
    <mergeCell ref="A90:H90"/>
    <mergeCell ref="A106:G106"/>
    <mergeCell ref="A107:G107"/>
    <mergeCell ref="A108:G108"/>
    <mergeCell ref="A109:H109"/>
    <mergeCell ref="A110:H110"/>
    <mergeCell ref="A111:H111"/>
    <mergeCell ref="A112:H112"/>
    <mergeCell ref="A113:H113"/>
    <mergeCell ref="A115:B115"/>
    <mergeCell ref="A122:G122"/>
    <mergeCell ref="A123:G123"/>
    <mergeCell ref="A124:G124"/>
    <mergeCell ref="A21:B21"/>
    <mergeCell ref="A23:B23"/>
    <mergeCell ref="A26:B26"/>
    <mergeCell ref="A27:G27"/>
    <mergeCell ref="A28:G28"/>
    <mergeCell ref="A29:G29"/>
    <mergeCell ref="A52:G52"/>
    <mergeCell ref="A53:G53"/>
    <mergeCell ref="A30:G30"/>
    <mergeCell ref="A31:H31"/>
    <mergeCell ref="A32:H32"/>
    <mergeCell ref="A33:H33"/>
    <mergeCell ref="A34:H34"/>
    <mergeCell ref="A35:H35"/>
    <mergeCell ref="A73:H73"/>
    <mergeCell ref="A54:H54"/>
    <mergeCell ref="A55:H55"/>
    <mergeCell ref="A56:H56"/>
    <mergeCell ref="A57:H57"/>
    <mergeCell ref="A58:H58"/>
    <mergeCell ref="A60:B60"/>
    <mergeCell ref="A14:H14"/>
    <mergeCell ref="A68:H68"/>
    <mergeCell ref="A69:H69"/>
    <mergeCell ref="A70:H70"/>
    <mergeCell ref="A71:H71"/>
    <mergeCell ref="A72:H72"/>
    <mergeCell ref="A36:H36"/>
    <mergeCell ref="A38:B38"/>
    <mergeCell ref="A50:G50"/>
    <mergeCell ref="A51:G51"/>
    <mergeCell ref="A15:H15"/>
    <mergeCell ref="A16:H16"/>
    <mergeCell ref="A17:H17"/>
    <mergeCell ref="A18:H18"/>
    <mergeCell ref="A19:H19"/>
    <mergeCell ref="A6:B6"/>
    <mergeCell ref="A10:G10"/>
    <mergeCell ref="A11:G11"/>
    <mergeCell ref="A12:G12"/>
    <mergeCell ref="A13:G13"/>
  </mergeCells>
  <printOptions horizontalCentered="1"/>
  <pageMargins left="0.5118110236220472" right="0.5118110236220472" top="0.32" bottom="0.46" header="0.31496062992125984" footer="0.31496062992125984"/>
  <pageSetup horizontalDpi="360" verticalDpi="360" orientation="portrait" paperSize="9" scale="71" r:id="rId2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SheetLayoutView="100" zoomScalePageLayoutView="0" workbookViewId="0" topLeftCell="A1">
      <selection activeCell="B13" sqref="B13:J13"/>
    </sheetView>
  </sheetViews>
  <sheetFormatPr defaultColWidth="9.421875" defaultRowHeight="12.75"/>
  <cols>
    <col min="1" max="1" width="2.00390625" style="66" customWidth="1"/>
    <col min="2" max="2" width="5.8515625" style="66" customWidth="1"/>
    <col min="3" max="3" width="51.7109375" style="66" customWidth="1"/>
    <col min="4" max="4" width="13.421875" style="66" customWidth="1"/>
    <col min="5" max="10" width="13.7109375" style="66" customWidth="1"/>
    <col min="11" max="11" width="11.7109375" style="66" customWidth="1"/>
    <col min="12" max="12" width="11.8515625" style="66" customWidth="1"/>
    <col min="13" max="13" width="10.28125" style="66" bestFit="1" customWidth="1"/>
    <col min="14" max="16384" width="9.421875" style="66" customWidth="1"/>
  </cols>
  <sheetData>
    <row r="1" spans="1:10" ht="90.75" customHeight="1" thickBot="1">
      <c r="A1" s="444"/>
      <c r="B1" s="445"/>
      <c r="C1" s="445"/>
      <c r="D1" s="445"/>
      <c r="E1" s="445"/>
      <c r="F1" s="445"/>
      <c r="G1" s="445"/>
      <c r="H1" s="445"/>
      <c r="I1" s="445"/>
      <c r="J1" s="445"/>
    </row>
    <row r="2" spans="1:10" ht="15" customHeight="1">
      <c r="A2" s="446" t="str">
        <f>'ORÇAMENTO BASE'!$A$2</f>
        <v>RECURSOS: PRÓPRIOS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1" ht="15" customHeight="1">
      <c r="A3" s="450" t="str">
        <f>'ORÇAMENTO BASE'!A3</f>
        <v>LOCAIS: TREVO DE ACESSO AO MUNICÍPIO DE TERRA NOVA E TREVO DO DISTRITO DO GUARANI</v>
      </c>
      <c r="B3" s="451"/>
      <c r="C3" s="451"/>
      <c r="D3" s="451"/>
      <c r="E3" s="451"/>
      <c r="F3" s="451"/>
      <c r="G3" s="451"/>
      <c r="H3" s="451"/>
      <c r="I3" s="451"/>
      <c r="J3" s="451"/>
      <c r="K3" s="67"/>
    </row>
    <row r="4" spans="1:11" ht="15" customHeight="1" thickBot="1">
      <c r="A4" s="452" t="str">
        <f>'ORÇAMENTO BASE'!A4</f>
        <v>OBJETO: REFORMAS DOS TREVOS DE TERRA NOVA E DO DISTRITO DO GUARANI</v>
      </c>
      <c r="B4" s="453"/>
      <c r="C4" s="453"/>
      <c r="D4" s="453"/>
      <c r="E4" s="453"/>
      <c r="F4" s="453"/>
      <c r="G4" s="453"/>
      <c r="H4" s="453"/>
      <c r="I4" s="453"/>
      <c r="J4" s="453"/>
      <c r="K4" s="67"/>
    </row>
    <row r="5" spans="1:11" ht="15" customHeight="1" thickBot="1">
      <c r="A5" s="454"/>
      <c r="B5" s="455"/>
      <c r="C5" s="455"/>
      <c r="D5" s="455"/>
      <c r="E5" s="455"/>
      <c r="F5" s="455"/>
      <c r="G5" s="455"/>
      <c r="H5" s="455"/>
      <c r="I5" s="455"/>
      <c r="J5" s="455"/>
      <c r="K5" s="67"/>
    </row>
    <row r="6" spans="1:11" ht="13.5" thickBot="1">
      <c r="A6" s="448" t="s">
        <v>1</v>
      </c>
      <c r="B6" s="449"/>
      <c r="C6" s="449"/>
      <c r="D6" s="449"/>
      <c r="E6" s="449"/>
      <c r="F6" s="449"/>
      <c r="G6" s="449"/>
      <c r="H6" s="449"/>
      <c r="I6" s="449"/>
      <c r="J6" s="449"/>
      <c r="K6" s="68"/>
    </row>
    <row r="7" spans="1:11" s="70" customFormat="1" ht="12.75">
      <c r="A7" s="117"/>
      <c r="B7" s="118" t="s">
        <v>0</v>
      </c>
      <c r="C7" s="360" t="s">
        <v>2</v>
      </c>
      <c r="D7" s="361" t="s">
        <v>3</v>
      </c>
      <c r="E7" s="362" t="s">
        <v>18</v>
      </c>
      <c r="F7" s="118" t="s">
        <v>19</v>
      </c>
      <c r="G7" s="362" t="s">
        <v>20</v>
      </c>
      <c r="H7" s="118" t="s">
        <v>21</v>
      </c>
      <c r="I7" s="118" t="s">
        <v>200</v>
      </c>
      <c r="J7" s="118" t="s">
        <v>201</v>
      </c>
      <c r="K7" s="69"/>
    </row>
    <row r="8" spans="1:12" s="70" customFormat="1" ht="15" customHeight="1">
      <c r="A8" s="119"/>
      <c r="B8" s="270" t="s">
        <v>9</v>
      </c>
      <c r="C8" s="35" t="str">
        <f>'ORÇAMENTO BASE'!C9</f>
        <v>SERVIÇOS PRELIMINARES</v>
      </c>
      <c r="D8" s="109">
        <f>'ORÇAMENTO BASE'!G11</f>
        <v>2224.68</v>
      </c>
      <c r="E8" s="282">
        <f>L8</f>
        <v>2224.68</v>
      </c>
      <c r="F8" s="283"/>
      <c r="G8" s="283"/>
      <c r="H8" s="283"/>
      <c r="I8" s="283"/>
      <c r="J8" s="283"/>
      <c r="K8" s="71">
        <f>'ORÇAMENTO BASE'!G11</f>
        <v>2224.68</v>
      </c>
      <c r="L8" s="72">
        <f>ROUND(D8/1,2)</f>
        <v>2224.68</v>
      </c>
    </row>
    <row r="9" spans="1:12" s="70" customFormat="1" ht="12.75">
      <c r="A9" s="119"/>
      <c r="B9" s="270" t="s">
        <v>10</v>
      </c>
      <c r="C9" s="35" t="str">
        <f>'ORÇAMENTO BASE'!C13</f>
        <v>REFORMA DO TREVO DA ENTRADA DE TERRA NOVA</v>
      </c>
      <c r="D9" s="109">
        <f>'ORÇAMENTO BASE'!G70</f>
        <v>210927.73999999996</v>
      </c>
      <c r="E9" s="282">
        <f>L9</f>
        <v>52731.94</v>
      </c>
      <c r="F9" s="282">
        <f>L9</f>
        <v>52731.94</v>
      </c>
      <c r="G9" s="282">
        <f>L9</f>
        <v>52731.94</v>
      </c>
      <c r="H9" s="282">
        <f>D9-E9-F9-G9</f>
        <v>52731.919999999955</v>
      </c>
      <c r="I9" s="283"/>
      <c r="J9" s="283"/>
      <c r="K9" s="71">
        <f>'ORÇAMENTO BASE'!G12</f>
        <v>0</v>
      </c>
      <c r="L9" s="72">
        <f>ROUND(D9/4,2)</f>
        <v>52731.94</v>
      </c>
    </row>
    <row r="10" spans="1:12" s="70" customFormat="1" ht="15" customHeight="1">
      <c r="A10" s="119"/>
      <c r="B10" s="270" t="s">
        <v>25</v>
      </c>
      <c r="C10" s="35" t="str">
        <f>'ORÇAMENTO BASE'!C72</f>
        <v>CONSTRUÇÃO PONTO DE ESPERA</v>
      </c>
      <c r="D10" s="109">
        <f>'ORÇAMENTO BASE'!G99</f>
        <v>9421.529999999999</v>
      </c>
      <c r="E10" s="283"/>
      <c r="F10" s="283"/>
      <c r="G10" s="283"/>
      <c r="H10" s="283"/>
      <c r="I10" s="282">
        <f>L10</f>
        <v>9421.53</v>
      </c>
      <c r="J10" s="283"/>
      <c r="K10" s="71">
        <f>'ORÇAMENTO BASE'!G13</f>
        <v>0</v>
      </c>
      <c r="L10" s="72">
        <f>ROUND(D10/1,2)</f>
        <v>9421.53</v>
      </c>
    </row>
    <row r="11" spans="1:12" s="70" customFormat="1" ht="12.75">
      <c r="A11" s="119"/>
      <c r="B11" s="270" t="s">
        <v>27</v>
      </c>
      <c r="C11" s="35" t="str">
        <f>'ORÇAMENTO BASE'!C101</f>
        <v>REFORMA DO TREVO DA ENTRADA DO DISTRITO DO GUARANI</v>
      </c>
      <c r="D11" s="109">
        <f>'ORÇAMENTO BASE'!G139</f>
        <v>78423.55</v>
      </c>
      <c r="E11" s="283"/>
      <c r="F11" s="283"/>
      <c r="G11" s="283"/>
      <c r="H11" s="283"/>
      <c r="I11" s="282">
        <f>L11</f>
        <v>39211.78</v>
      </c>
      <c r="J11" s="282">
        <f>D11-I11</f>
        <v>39211.770000000004</v>
      </c>
      <c r="K11" s="71">
        <f>'ORÇAMENTO BASE'!G14</f>
        <v>0</v>
      </c>
      <c r="L11" s="72">
        <f>ROUND(D11/2,2)</f>
        <v>39211.78</v>
      </c>
    </row>
    <row r="12" spans="1:12" s="70" customFormat="1" ht="15" customHeight="1">
      <c r="A12" s="119"/>
      <c r="B12" s="270"/>
      <c r="C12" s="108"/>
      <c r="D12" s="109"/>
      <c r="E12" s="170"/>
      <c r="F12" s="170"/>
      <c r="G12" s="170"/>
      <c r="H12" s="170"/>
      <c r="I12" s="170"/>
      <c r="J12" s="170"/>
      <c r="K12" s="71"/>
      <c r="L12" s="72"/>
    </row>
    <row r="13" spans="1:22" s="70" customFormat="1" ht="19.5" customHeight="1">
      <c r="A13" s="119"/>
      <c r="B13" s="442"/>
      <c r="C13" s="443"/>
      <c r="D13" s="443"/>
      <c r="E13" s="443"/>
      <c r="F13" s="443"/>
      <c r="G13" s="443"/>
      <c r="H13" s="443"/>
      <c r="I13" s="443"/>
      <c r="J13" s="443"/>
      <c r="K13" s="71">
        <f>SUM(E13:J13)</f>
        <v>0</v>
      </c>
      <c r="L13" s="73"/>
      <c r="M13" s="74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70" customFormat="1" ht="19.5" customHeight="1" thickBot="1">
      <c r="A14" s="120"/>
      <c r="B14" s="271"/>
      <c r="C14" s="272" t="s">
        <v>202</v>
      </c>
      <c r="D14" s="273">
        <f>SUM(D8:D11)</f>
        <v>300997.49999999994</v>
      </c>
      <c r="E14" s="274" t="s">
        <v>203</v>
      </c>
      <c r="F14" s="274" t="s">
        <v>204</v>
      </c>
      <c r="G14" s="274" t="s">
        <v>205</v>
      </c>
      <c r="H14" s="274" t="s">
        <v>206</v>
      </c>
      <c r="I14" s="274" t="s">
        <v>207</v>
      </c>
      <c r="J14" s="274" t="s">
        <v>208</v>
      </c>
      <c r="K14" s="110">
        <f>SUM(E14:J14)</f>
        <v>0</v>
      </c>
      <c r="L14" s="73"/>
      <c r="M14" s="74"/>
      <c r="N14" s="75"/>
      <c r="O14" s="75"/>
      <c r="P14" s="75"/>
      <c r="Q14" s="75"/>
      <c r="R14" s="75"/>
      <c r="S14" s="75"/>
      <c r="T14" s="75"/>
      <c r="U14" s="75"/>
      <c r="V14" s="75"/>
    </row>
    <row r="15" spans="2:22" s="70" customFormat="1" ht="12" customHeight="1">
      <c r="B15" s="271"/>
      <c r="C15" s="272" t="s">
        <v>209</v>
      </c>
      <c r="D15" s="275"/>
      <c r="E15" s="276">
        <f aca="true" t="shared" si="0" ref="E15:J15">SUM(E8:E11)</f>
        <v>54956.62</v>
      </c>
      <c r="F15" s="276">
        <f t="shared" si="0"/>
        <v>52731.94</v>
      </c>
      <c r="G15" s="276">
        <f t="shared" si="0"/>
        <v>52731.94</v>
      </c>
      <c r="H15" s="276">
        <f t="shared" si="0"/>
        <v>52731.919999999955</v>
      </c>
      <c r="I15" s="276">
        <f t="shared" si="0"/>
        <v>48633.31</v>
      </c>
      <c r="J15" s="276">
        <f t="shared" si="0"/>
        <v>39211.770000000004</v>
      </c>
      <c r="K15" s="78"/>
      <c r="L15" s="73"/>
      <c r="M15" s="74"/>
      <c r="N15" s="75"/>
      <c r="O15" s="75"/>
      <c r="P15" s="75"/>
      <c r="Q15" s="75"/>
      <c r="R15" s="75"/>
      <c r="S15" s="75"/>
      <c r="T15" s="75"/>
      <c r="U15" s="75"/>
      <c r="V15" s="75"/>
    </row>
    <row r="16" spans="2:22" s="70" customFormat="1" ht="12.75" customHeight="1">
      <c r="B16" s="271"/>
      <c r="C16" s="272" t="s">
        <v>210</v>
      </c>
      <c r="D16" s="275"/>
      <c r="E16" s="277">
        <f aca="true" t="shared" si="1" ref="E16:J16">(E15*100/$D$14)/100</f>
        <v>0.18258164934924712</v>
      </c>
      <c r="F16" s="277">
        <f t="shared" si="1"/>
        <v>0.1751906245068481</v>
      </c>
      <c r="G16" s="277">
        <f t="shared" si="1"/>
        <v>0.1751906245068481</v>
      </c>
      <c r="H16" s="277">
        <f t="shared" si="1"/>
        <v>0.17519055806111336</v>
      </c>
      <c r="I16" s="277">
        <f t="shared" si="1"/>
        <v>0.1615738004468476</v>
      </c>
      <c r="J16" s="277">
        <f t="shared" si="1"/>
        <v>0.13027274312909579</v>
      </c>
      <c r="K16" s="71"/>
      <c r="L16" s="73"/>
      <c r="M16" s="74"/>
      <c r="N16" s="75"/>
      <c r="O16" s="75"/>
      <c r="P16" s="75"/>
      <c r="Q16" s="75"/>
      <c r="R16" s="75"/>
      <c r="S16" s="75"/>
      <c r="T16" s="75"/>
      <c r="U16" s="75"/>
      <c r="V16" s="75"/>
    </row>
    <row r="17" spans="2:22" s="70" customFormat="1" ht="12.75" customHeight="1">
      <c r="B17" s="271"/>
      <c r="C17" s="272" t="s">
        <v>211</v>
      </c>
      <c r="D17" s="275"/>
      <c r="E17" s="278">
        <f>E15</f>
        <v>54956.62</v>
      </c>
      <c r="F17" s="278">
        <f>E17+F15</f>
        <v>107688.56</v>
      </c>
      <c r="G17" s="278">
        <f>F17+G15</f>
        <v>160420.5</v>
      </c>
      <c r="H17" s="278">
        <f>G17+H15</f>
        <v>213152.41999999995</v>
      </c>
      <c r="I17" s="278">
        <f>H17+I15</f>
        <v>261785.72999999995</v>
      </c>
      <c r="J17" s="278">
        <f>I17+J15</f>
        <v>300997.49999999994</v>
      </c>
      <c r="K17" s="71"/>
      <c r="L17" s="80"/>
      <c r="M17" s="81"/>
      <c r="N17" s="75"/>
      <c r="O17" s="75"/>
      <c r="P17" s="75"/>
      <c r="Q17" s="75"/>
      <c r="R17" s="75"/>
      <c r="S17" s="75"/>
      <c r="T17" s="75"/>
      <c r="U17" s="75"/>
      <c r="V17" s="75"/>
    </row>
    <row r="18" spans="2:22" s="70" customFormat="1" ht="12.75" customHeight="1">
      <c r="B18" s="279"/>
      <c r="C18" s="272" t="s">
        <v>212</v>
      </c>
      <c r="D18" s="280"/>
      <c r="E18" s="281">
        <f aca="true" t="shared" si="2" ref="E18:J18">(E17*100/$D$14)/100</f>
        <v>0.18258164934924712</v>
      </c>
      <c r="F18" s="281">
        <f t="shared" si="2"/>
        <v>0.3577722738560952</v>
      </c>
      <c r="G18" s="281">
        <f t="shared" si="2"/>
        <v>0.5329628983629433</v>
      </c>
      <c r="H18" s="281">
        <f t="shared" si="2"/>
        <v>0.7081534564240567</v>
      </c>
      <c r="I18" s="281">
        <f t="shared" si="2"/>
        <v>0.8697272568709044</v>
      </c>
      <c r="J18" s="281">
        <f t="shared" si="2"/>
        <v>1</v>
      </c>
      <c r="K18" s="71"/>
      <c r="L18" s="82"/>
      <c r="M18" s="74"/>
      <c r="N18" s="75"/>
      <c r="O18" s="75"/>
      <c r="P18" s="75"/>
      <c r="Q18" s="75"/>
      <c r="R18" s="75"/>
      <c r="S18" s="75"/>
      <c r="T18" s="75"/>
      <c r="U18" s="75"/>
      <c r="V18" s="75"/>
    </row>
    <row r="19" spans="2:22" s="70" customFormat="1" ht="12.75" customHeight="1">
      <c r="B19" s="76"/>
      <c r="C19" s="79"/>
      <c r="D19" s="79"/>
      <c r="E19" s="77"/>
      <c r="F19" s="77"/>
      <c r="G19" s="77"/>
      <c r="H19" s="77"/>
      <c r="I19" s="77"/>
      <c r="J19" s="77"/>
      <c r="K19" s="83"/>
      <c r="L19" s="80"/>
      <c r="M19" s="80"/>
      <c r="N19" s="75"/>
      <c r="O19" s="75"/>
      <c r="P19" s="75"/>
      <c r="Q19" s="75"/>
      <c r="R19" s="75"/>
      <c r="S19" s="75"/>
      <c r="T19" s="75"/>
      <c r="U19" s="75"/>
      <c r="V19" s="75"/>
    </row>
    <row r="20" spans="2:22" s="70" customFormat="1" ht="12.75" customHeight="1">
      <c r="B20" s="84"/>
      <c r="C20" s="85"/>
      <c r="D20" s="85"/>
      <c r="E20" s="86"/>
      <c r="F20" s="86"/>
      <c r="G20" s="86"/>
      <c r="H20" s="86"/>
      <c r="I20" s="86"/>
      <c r="J20" s="86"/>
      <c r="K20" s="87"/>
      <c r="L20" s="80"/>
      <c r="M20" s="82"/>
      <c r="N20" s="75"/>
      <c r="O20" s="75"/>
      <c r="P20" s="75"/>
      <c r="Q20" s="75"/>
      <c r="R20" s="75"/>
      <c r="S20" s="75"/>
      <c r="T20" s="75"/>
      <c r="U20" s="75"/>
      <c r="V20" s="75"/>
    </row>
    <row r="21" spans="1:22" s="70" customFormat="1" ht="12.75" customHeight="1">
      <c r="A21" s="88"/>
      <c r="B21" s="89"/>
      <c r="C21" s="76"/>
      <c r="D21" s="76"/>
      <c r="E21" s="77"/>
      <c r="F21" s="77"/>
      <c r="G21" s="77"/>
      <c r="H21" s="77"/>
      <c r="I21" s="77"/>
      <c r="J21" s="77"/>
      <c r="K21" s="83"/>
      <c r="L21" s="75"/>
      <c r="M21" s="75"/>
      <c r="N21" s="75"/>
      <c r="O21" s="75"/>
      <c r="P21" s="90"/>
      <c r="Q21" s="90"/>
      <c r="R21" s="90"/>
      <c r="S21" s="90"/>
      <c r="T21" s="90"/>
      <c r="U21" s="90"/>
      <c r="V21" s="90"/>
    </row>
    <row r="22" spans="1:22" ht="12.75" customHeight="1">
      <c r="A22" s="91"/>
      <c r="B22" s="92"/>
      <c r="C22" s="93"/>
      <c r="D22" s="93"/>
      <c r="E22" s="94"/>
      <c r="F22" s="94"/>
      <c r="G22" s="94"/>
      <c r="H22" s="94"/>
      <c r="I22" s="94"/>
      <c r="J22" s="94"/>
      <c r="K22" s="95"/>
      <c r="L22" s="96"/>
      <c r="M22" s="96"/>
      <c r="N22" s="97"/>
      <c r="O22" s="97"/>
      <c r="P22" s="97"/>
      <c r="Q22" s="97"/>
      <c r="R22" s="97"/>
      <c r="S22" s="97"/>
      <c r="T22" s="97"/>
      <c r="U22" s="97"/>
      <c r="V22" s="97"/>
    </row>
    <row r="23" spans="1:22" ht="12.75" customHeight="1">
      <c r="A23" s="91"/>
      <c r="B23" s="92"/>
      <c r="C23" s="93"/>
      <c r="D23" s="93"/>
      <c r="E23" s="94"/>
      <c r="F23" s="94"/>
      <c r="G23" s="94"/>
      <c r="H23" s="94"/>
      <c r="I23" s="94"/>
      <c r="J23" s="94"/>
      <c r="K23" s="95"/>
      <c r="L23" s="96"/>
      <c r="M23" s="96"/>
      <c r="N23" s="97"/>
      <c r="O23" s="97"/>
      <c r="P23" s="97"/>
      <c r="Q23" s="97"/>
      <c r="R23" s="97"/>
      <c r="S23" s="97"/>
      <c r="T23" s="97"/>
      <c r="U23" s="97"/>
      <c r="V23" s="97"/>
    </row>
    <row r="24" spans="1:22" ht="12.75" customHeight="1">
      <c r="A24" s="91"/>
      <c r="B24" s="98"/>
      <c r="C24" s="93"/>
      <c r="D24" s="93"/>
      <c r="E24" s="94"/>
      <c r="F24" s="94"/>
      <c r="G24" s="94"/>
      <c r="H24" s="94"/>
      <c r="I24" s="94"/>
      <c r="J24" s="94"/>
      <c r="K24" s="99"/>
      <c r="L24" s="96"/>
      <c r="M24" s="96"/>
      <c r="N24" s="97"/>
      <c r="O24" s="97"/>
      <c r="P24" s="97"/>
      <c r="Q24" s="97"/>
      <c r="R24" s="97"/>
      <c r="S24" s="97"/>
      <c r="T24" s="97"/>
      <c r="U24" s="97"/>
      <c r="V24" s="97"/>
    </row>
    <row r="25" spans="1:22" ht="12.75" customHeight="1">
      <c r="A25" s="91"/>
      <c r="B25" s="98"/>
      <c r="C25" s="100"/>
      <c r="D25" s="100"/>
      <c r="E25" s="94"/>
      <c r="F25" s="94"/>
      <c r="G25" s="94"/>
      <c r="H25" s="94"/>
      <c r="I25" s="94"/>
      <c r="J25" s="94"/>
      <c r="K25" s="99"/>
      <c r="L25" s="96"/>
      <c r="M25" s="96"/>
      <c r="N25" s="97"/>
      <c r="O25" s="97"/>
      <c r="P25" s="97"/>
      <c r="Q25" s="97"/>
      <c r="R25" s="97"/>
      <c r="S25" s="97"/>
      <c r="T25" s="97"/>
      <c r="U25" s="97"/>
      <c r="V25" s="97"/>
    </row>
    <row r="26" spans="1:22" ht="12.75" customHeight="1">
      <c r="A26" s="91"/>
      <c r="B26" s="98"/>
      <c r="C26" s="100"/>
      <c r="D26" s="100"/>
      <c r="E26" s="94"/>
      <c r="F26" s="94"/>
      <c r="G26" s="94"/>
      <c r="H26" s="94"/>
      <c r="I26" s="94"/>
      <c r="J26" s="94"/>
      <c r="K26" s="99"/>
      <c r="L26" s="96"/>
      <c r="M26" s="96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12.75" customHeight="1">
      <c r="A27" s="91"/>
      <c r="B27" s="98"/>
      <c r="C27" s="100"/>
      <c r="D27" s="100"/>
      <c r="E27" s="94"/>
      <c r="F27" s="94"/>
      <c r="G27" s="94"/>
      <c r="H27" s="94"/>
      <c r="I27" s="94"/>
      <c r="J27" s="94"/>
      <c r="K27" s="99"/>
      <c r="L27" s="96"/>
      <c r="M27" s="96"/>
      <c r="N27" s="97"/>
      <c r="O27" s="97"/>
      <c r="P27" s="97"/>
      <c r="Q27" s="97"/>
      <c r="R27" s="97"/>
      <c r="S27" s="97"/>
      <c r="T27" s="97"/>
      <c r="U27" s="97"/>
      <c r="V27" s="97"/>
    </row>
    <row r="28" spans="1:22" ht="12.75" customHeight="1">
      <c r="A28" s="91"/>
      <c r="B28" s="98"/>
      <c r="C28" s="100"/>
      <c r="D28" s="100"/>
      <c r="E28" s="94"/>
      <c r="F28" s="94"/>
      <c r="G28" s="94"/>
      <c r="H28" s="94"/>
      <c r="I28" s="94"/>
      <c r="J28" s="94"/>
      <c r="K28" s="99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</row>
    <row r="29" spans="1:22" ht="13.5" customHeight="1">
      <c r="A29" s="91"/>
      <c r="B29" s="101"/>
      <c r="C29" s="100"/>
      <c r="D29" s="100"/>
      <c r="E29" s="94"/>
      <c r="F29" s="94"/>
      <c r="G29" s="94"/>
      <c r="H29" s="94"/>
      <c r="I29" s="94"/>
      <c r="J29" s="94"/>
      <c r="K29" s="99"/>
      <c r="L29" s="96"/>
      <c r="M29" s="96"/>
      <c r="N29" s="97"/>
      <c r="O29" s="97"/>
      <c r="P29" s="102"/>
      <c r="Q29" s="102"/>
      <c r="R29" s="102"/>
      <c r="S29" s="102"/>
      <c r="T29" s="102"/>
      <c r="U29" s="102"/>
      <c r="V29" s="102"/>
    </row>
    <row r="30" spans="1:22" ht="12.75" customHeight="1">
      <c r="A30" s="91"/>
      <c r="B30" s="98"/>
      <c r="C30" s="93"/>
      <c r="D30" s="93"/>
      <c r="E30" s="94"/>
      <c r="F30" s="94"/>
      <c r="G30" s="94"/>
      <c r="H30" s="94"/>
      <c r="I30" s="94"/>
      <c r="J30" s="94"/>
      <c r="K30" s="99"/>
      <c r="L30" s="96"/>
      <c r="M30" s="96"/>
      <c r="N30" s="97"/>
      <c r="O30" s="97"/>
      <c r="P30" s="97"/>
      <c r="Q30" s="97"/>
      <c r="R30" s="97"/>
      <c r="S30" s="97"/>
      <c r="T30" s="97"/>
      <c r="U30" s="97"/>
      <c r="V30" s="97"/>
    </row>
    <row r="31" spans="1:22" ht="12.75">
      <c r="A31" s="91"/>
      <c r="B31" s="98"/>
      <c r="C31" s="103"/>
      <c r="D31" s="103"/>
      <c r="E31" s="94"/>
      <c r="F31" s="94"/>
      <c r="G31" s="94"/>
      <c r="H31" s="94"/>
      <c r="I31" s="94"/>
      <c r="J31" s="94"/>
      <c r="K31" s="99"/>
      <c r="L31" s="96"/>
      <c r="M31" s="96"/>
      <c r="N31" s="97"/>
      <c r="O31" s="97"/>
      <c r="P31" s="97"/>
      <c r="Q31" s="97"/>
      <c r="R31" s="97"/>
      <c r="S31" s="97"/>
      <c r="T31" s="97"/>
      <c r="U31" s="97"/>
      <c r="V31" s="97"/>
    </row>
    <row r="32" spans="1:22" ht="12.75" customHeight="1">
      <c r="A32" s="91"/>
      <c r="B32" s="98"/>
      <c r="C32" s="103"/>
      <c r="D32" s="103"/>
      <c r="E32" s="94"/>
      <c r="F32" s="94"/>
      <c r="G32" s="94"/>
      <c r="H32" s="94"/>
      <c r="I32" s="94"/>
      <c r="J32" s="94"/>
      <c r="K32" s="99"/>
      <c r="L32" s="96"/>
      <c r="M32" s="96"/>
      <c r="N32" s="97"/>
      <c r="O32" s="97"/>
      <c r="P32" s="97"/>
      <c r="Q32" s="97"/>
      <c r="R32" s="97"/>
      <c r="S32" s="97"/>
      <c r="T32" s="97"/>
      <c r="U32" s="97"/>
      <c r="V32" s="97"/>
    </row>
    <row r="33" spans="1:22" ht="12.75">
      <c r="A33" s="91"/>
      <c r="B33" s="98"/>
      <c r="C33" s="103"/>
      <c r="D33" s="103"/>
      <c r="E33" s="94"/>
      <c r="F33" s="94"/>
      <c r="G33" s="94"/>
      <c r="H33" s="94"/>
      <c r="I33" s="94"/>
      <c r="J33" s="94"/>
      <c r="K33" s="99"/>
      <c r="L33" s="96"/>
      <c r="M33" s="96"/>
      <c r="N33" s="97"/>
      <c r="O33" s="97"/>
      <c r="P33" s="97"/>
      <c r="Q33" s="97"/>
      <c r="R33" s="97"/>
      <c r="S33" s="97"/>
      <c r="T33" s="97"/>
      <c r="U33" s="97"/>
      <c r="V33" s="97"/>
    </row>
    <row r="34" spans="1:22" ht="12.75" customHeight="1">
      <c r="A34" s="91"/>
      <c r="B34" s="98"/>
      <c r="C34" s="103"/>
      <c r="D34" s="103"/>
      <c r="E34" s="94"/>
      <c r="F34" s="94"/>
      <c r="G34" s="94"/>
      <c r="H34" s="94"/>
      <c r="I34" s="94"/>
      <c r="J34" s="94"/>
      <c r="K34" s="99"/>
      <c r="L34" s="96"/>
      <c r="M34" s="96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2.75">
      <c r="A35" s="91"/>
      <c r="B35" s="98"/>
      <c r="C35" s="103"/>
      <c r="D35" s="103"/>
      <c r="E35" s="94"/>
      <c r="F35" s="94"/>
      <c r="G35" s="94"/>
      <c r="H35" s="94"/>
      <c r="I35" s="94"/>
      <c r="J35" s="94"/>
      <c r="K35" s="99"/>
      <c r="L35" s="96"/>
      <c r="M35" s="96"/>
      <c r="N35" s="97"/>
      <c r="O35" s="97"/>
      <c r="P35" s="97"/>
      <c r="Q35" s="97"/>
      <c r="R35" s="97"/>
      <c r="S35" s="97"/>
      <c r="T35" s="97"/>
      <c r="U35" s="97"/>
      <c r="V35" s="97"/>
    </row>
    <row r="36" spans="1:22" ht="12.75" customHeight="1">
      <c r="A36" s="91"/>
      <c r="B36" s="98"/>
      <c r="C36" s="103"/>
      <c r="D36" s="103"/>
      <c r="E36" s="94"/>
      <c r="F36" s="94"/>
      <c r="G36" s="94"/>
      <c r="H36" s="94"/>
      <c r="I36" s="94"/>
      <c r="J36" s="94"/>
      <c r="K36" s="99"/>
      <c r="L36" s="96"/>
      <c r="M36" s="96"/>
      <c r="N36" s="97"/>
      <c r="O36" s="97"/>
      <c r="P36" s="97"/>
      <c r="Q36" s="97"/>
      <c r="R36" s="97"/>
      <c r="S36" s="97"/>
      <c r="T36" s="97"/>
      <c r="U36" s="97"/>
      <c r="V36" s="97"/>
    </row>
    <row r="37" spans="1:22" ht="12.75" customHeight="1">
      <c r="A37" s="91"/>
      <c r="B37" s="98"/>
      <c r="C37" s="98"/>
      <c r="D37" s="98"/>
      <c r="E37" s="94"/>
      <c r="F37" s="94"/>
      <c r="G37" s="94"/>
      <c r="H37" s="94"/>
      <c r="I37" s="94"/>
      <c r="J37" s="94"/>
      <c r="K37" s="99"/>
      <c r="L37" s="96"/>
      <c r="M37" s="96"/>
      <c r="N37" s="97"/>
      <c r="O37" s="97"/>
      <c r="P37" s="97"/>
      <c r="Q37" s="97"/>
      <c r="R37" s="97"/>
      <c r="S37" s="97"/>
      <c r="T37" s="97"/>
      <c r="U37" s="97"/>
      <c r="V37" s="97"/>
    </row>
    <row r="38" spans="1:22" ht="12.75" customHeight="1">
      <c r="A38" s="91"/>
      <c r="B38" s="98"/>
      <c r="C38" s="104"/>
      <c r="D38" s="104"/>
      <c r="E38" s="98"/>
      <c r="F38" s="98"/>
      <c r="G38" s="98"/>
      <c r="H38" s="98"/>
      <c r="I38" s="98"/>
      <c r="J38" s="98"/>
      <c r="K38" s="105"/>
      <c r="L38" s="96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2.75" customHeight="1">
      <c r="A39" s="91"/>
      <c r="B39" s="106"/>
      <c r="C39" s="98"/>
      <c r="D39" s="98"/>
      <c r="E39" s="94"/>
      <c r="F39" s="94"/>
      <c r="G39" s="94"/>
      <c r="H39" s="94"/>
      <c r="I39" s="94"/>
      <c r="J39" s="94"/>
      <c r="K39" s="99"/>
      <c r="L39" s="97"/>
      <c r="M39" s="97"/>
      <c r="N39" s="97"/>
      <c r="O39" s="97"/>
      <c r="P39" s="102"/>
      <c r="Q39" s="102"/>
      <c r="R39" s="102"/>
      <c r="S39" s="102"/>
      <c r="T39" s="102"/>
      <c r="U39" s="102"/>
      <c r="V39" s="102"/>
    </row>
    <row r="40" spans="1:22" ht="13.5" customHeight="1">
      <c r="A40" s="91"/>
      <c r="B40" s="98"/>
      <c r="C40" s="103"/>
      <c r="D40" s="103"/>
      <c r="E40" s="98"/>
      <c r="F40" s="98"/>
      <c r="G40" s="98"/>
      <c r="H40" s="98"/>
      <c r="I40" s="98"/>
      <c r="J40" s="98"/>
      <c r="K40" s="99"/>
      <c r="L40" s="96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10" ht="12.75">
      <c r="A41" s="91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2.75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12.75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2.75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ht="12.75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75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2.7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12.75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2.75">
      <c r="A51" s="91"/>
      <c r="B51" s="91"/>
      <c r="C51" s="91"/>
      <c r="D51" s="91"/>
      <c r="E51" s="91"/>
      <c r="F51" s="91"/>
      <c r="G51" s="91"/>
      <c r="H51" s="91"/>
      <c r="I51" s="91"/>
      <c r="J51" s="91"/>
    </row>
    <row r="52" spans="1:10" ht="12.75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2.75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2.75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ht="12.75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91"/>
      <c r="B56" s="91"/>
      <c r="C56" s="91"/>
      <c r="D56" s="91"/>
      <c r="E56" s="91"/>
      <c r="F56" s="91"/>
      <c r="G56" s="91"/>
      <c r="H56" s="91"/>
      <c r="I56" s="91"/>
      <c r="J56" s="91"/>
    </row>
  </sheetData>
  <sheetProtection selectLockedCells="1" selectUnlockedCells="1"/>
  <mergeCells count="7">
    <mergeCell ref="B13:J13"/>
    <mergeCell ref="A1:J1"/>
    <mergeCell ref="A2:J2"/>
    <mergeCell ref="A6:J6"/>
    <mergeCell ref="A3:J3"/>
    <mergeCell ref="A4:J4"/>
    <mergeCell ref="A5:J5"/>
  </mergeCells>
  <printOptions horizontalCentered="1"/>
  <pageMargins left="0.3937007874015748" right="0.5905511811023623" top="0.3937007874015748" bottom="1.1811023622047245" header="0" footer="0"/>
  <pageSetup horizontalDpi="360" verticalDpi="360" orientation="landscape" pageOrder="overThenDown" paperSize="9" scale="70" r:id="rId2"/>
  <headerFooter alignWithMargins="0"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A7" sqref="A7:D7"/>
    </sheetView>
  </sheetViews>
  <sheetFormatPr defaultColWidth="9.140625" defaultRowHeight="12.75"/>
  <cols>
    <col min="1" max="1" width="10.28125" style="176" customWidth="1"/>
    <col min="2" max="2" width="59.28125" style="176" customWidth="1"/>
    <col min="3" max="3" width="12.140625" style="177" customWidth="1"/>
    <col min="4" max="4" width="4.7109375" style="176" customWidth="1"/>
    <col min="5" max="5" width="59.57421875" style="176" customWidth="1"/>
    <col min="6" max="8" width="9.140625" style="176" customWidth="1"/>
    <col min="9" max="9" width="2.8515625" style="176" customWidth="1"/>
    <col min="10" max="10" width="48.00390625" style="176" customWidth="1"/>
    <col min="11" max="231" width="9.140625" style="176" customWidth="1"/>
    <col min="232" max="232" width="6.28125" style="176" customWidth="1"/>
    <col min="233" max="233" width="12.57421875" style="176" customWidth="1"/>
    <col min="234" max="234" width="8.7109375" style="176" customWidth="1"/>
    <col min="235" max="235" width="11.7109375" style="176" customWidth="1"/>
    <col min="236" max="236" width="9.140625" style="176" customWidth="1"/>
    <col min="237" max="237" width="2.57421875" style="176" customWidth="1"/>
    <col min="238" max="238" width="9.140625" style="176" customWidth="1"/>
    <col min="239" max="239" width="2.7109375" style="176" customWidth="1"/>
    <col min="240" max="16384" width="9.140625" style="176" customWidth="1"/>
  </cols>
  <sheetData>
    <row r="1" spans="1:4" s="175" customFormat="1" ht="15">
      <c r="A1" s="456"/>
      <c r="B1" s="456"/>
      <c r="C1" s="456"/>
      <c r="D1" s="173"/>
    </row>
    <row r="2" spans="1:4" s="175" customFormat="1" ht="15">
      <c r="A2" s="456"/>
      <c r="B2" s="456"/>
      <c r="C2" s="456"/>
      <c r="D2" s="173"/>
    </row>
    <row r="3" spans="1:4" s="175" customFormat="1" ht="15">
      <c r="A3" s="456"/>
      <c r="B3" s="456"/>
      <c r="C3" s="456"/>
      <c r="D3" s="173"/>
    </row>
    <row r="4" spans="1:5" s="175" customFormat="1" ht="30" customHeight="1">
      <c r="A4" s="456"/>
      <c r="B4" s="456"/>
      <c r="C4" s="456"/>
      <c r="D4" s="173"/>
      <c r="E4" s="175" t="s">
        <v>36</v>
      </c>
    </row>
    <row r="5" spans="1:4" s="175" customFormat="1" ht="39.75" customHeight="1">
      <c r="A5" s="457" t="str">
        <f>'ORÇAMENTO BASE'!A4:J4</f>
        <v>OBJETO: REFORMAS DOS TREVOS DE TERRA NOVA E DO DISTRITO DO GUARANI</v>
      </c>
      <c r="B5" s="457"/>
      <c r="C5" s="457"/>
      <c r="D5" s="173"/>
    </row>
    <row r="6" spans="1:4" s="175" customFormat="1" ht="25.5" customHeight="1">
      <c r="A6" s="468" t="str">
        <f>'ORÇAMENTO BASE'!A3</f>
        <v>LOCAIS: TREVO DE ACESSO AO MUNICÍPIO DE TERRA NOVA E TREVO DO DISTRITO DO GUARANI</v>
      </c>
      <c r="B6" s="468"/>
      <c r="C6" s="468"/>
      <c r="D6" s="468"/>
    </row>
    <row r="7" spans="1:4" s="175" customFormat="1" ht="15" customHeight="1">
      <c r="A7" s="456"/>
      <c r="B7" s="456"/>
      <c r="C7" s="456"/>
      <c r="D7" s="456"/>
    </row>
    <row r="8" spans="1:5" s="173" customFormat="1" ht="18.75">
      <c r="A8" s="469" t="s">
        <v>37</v>
      </c>
      <c r="B8" s="469"/>
      <c r="C8" s="469"/>
      <c r="E8" s="173" t="s">
        <v>38</v>
      </c>
    </row>
    <row r="9" ht="6.75" customHeight="1" thickBot="1"/>
    <row r="10" spans="1:5" s="175" customFormat="1" ht="15.75" thickBot="1">
      <c r="A10" s="1" t="s">
        <v>39</v>
      </c>
      <c r="B10" s="2" t="s">
        <v>40</v>
      </c>
      <c r="C10" s="3" t="s">
        <v>41</v>
      </c>
      <c r="E10" s="175" t="s">
        <v>42</v>
      </c>
    </row>
    <row r="11" spans="1:3" s="175" customFormat="1" ht="15">
      <c r="A11" s="178"/>
      <c r="B11" s="179" t="s">
        <v>43</v>
      </c>
      <c r="C11" s="180"/>
    </row>
    <row r="12" spans="1:13" s="175" customFormat="1" ht="32.25" customHeight="1" thickBot="1">
      <c r="A12" s="181" t="s">
        <v>44</v>
      </c>
      <c r="B12" s="182" t="s">
        <v>45</v>
      </c>
      <c r="C12" s="183">
        <v>3</v>
      </c>
      <c r="E12" s="184" t="s">
        <v>46</v>
      </c>
      <c r="F12" s="185"/>
      <c r="G12" s="185"/>
      <c r="H12" s="185"/>
      <c r="J12" s="458" t="s">
        <v>47</v>
      </c>
      <c r="K12" s="459"/>
      <c r="L12" s="459"/>
      <c r="M12" s="459"/>
    </row>
    <row r="13" spans="1:13" s="175" customFormat="1" ht="15.75" thickBot="1">
      <c r="A13" s="181" t="s">
        <v>48</v>
      </c>
      <c r="B13" s="182" t="s">
        <v>49</v>
      </c>
      <c r="C13" s="183">
        <v>0.59</v>
      </c>
      <c r="E13" s="186" t="s">
        <v>50</v>
      </c>
      <c r="F13" s="187" t="s">
        <v>51</v>
      </c>
      <c r="G13" s="187" t="s">
        <v>52</v>
      </c>
      <c r="H13" s="187" t="s">
        <v>53</v>
      </c>
      <c r="J13" s="186" t="s">
        <v>50</v>
      </c>
      <c r="K13" s="187" t="s">
        <v>51</v>
      </c>
      <c r="L13" s="187" t="s">
        <v>52</v>
      </c>
      <c r="M13" s="187" t="s">
        <v>53</v>
      </c>
    </row>
    <row r="14" spans="1:13" s="175" customFormat="1" ht="15.75" thickBot="1">
      <c r="A14" s="181" t="s">
        <v>54</v>
      </c>
      <c r="B14" s="182" t="s">
        <v>55</v>
      </c>
      <c r="C14" s="183">
        <v>0.97</v>
      </c>
      <c r="E14" s="188" t="s">
        <v>56</v>
      </c>
      <c r="F14" s="189">
        <v>0.03</v>
      </c>
      <c r="G14" s="189">
        <v>0.04</v>
      </c>
      <c r="H14" s="189">
        <v>0.055</v>
      </c>
      <c r="J14" s="188" t="s">
        <v>56</v>
      </c>
      <c r="K14" s="189">
        <v>0.0343</v>
      </c>
      <c r="L14" s="189">
        <v>0.0493</v>
      </c>
      <c r="M14" s="189">
        <v>0.0671</v>
      </c>
    </row>
    <row r="15" spans="1:13" s="175" customFormat="1" ht="15.75" thickBot="1">
      <c r="A15" s="190"/>
      <c r="B15" s="191"/>
      <c r="C15" s="192"/>
      <c r="E15" s="188" t="s">
        <v>57</v>
      </c>
      <c r="F15" s="189">
        <v>0.008</v>
      </c>
      <c r="G15" s="189">
        <v>0.008</v>
      </c>
      <c r="H15" s="189">
        <v>0.01</v>
      </c>
      <c r="J15" s="188" t="s">
        <v>57</v>
      </c>
      <c r="K15" s="189">
        <v>0.0028</v>
      </c>
      <c r="L15" s="189">
        <v>0.0049</v>
      </c>
      <c r="M15" s="189">
        <v>0.0075</v>
      </c>
    </row>
    <row r="16" spans="3:13" s="175" customFormat="1" ht="15.75" thickBot="1">
      <c r="C16" s="193"/>
      <c r="E16" s="188" t="s">
        <v>58</v>
      </c>
      <c r="F16" s="189">
        <v>0.0097</v>
      </c>
      <c r="G16" s="189">
        <v>0.0127</v>
      </c>
      <c r="H16" s="189">
        <v>0.0127</v>
      </c>
      <c r="J16" s="188" t="s">
        <v>58</v>
      </c>
      <c r="K16" s="189">
        <v>0.01</v>
      </c>
      <c r="L16" s="189">
        <v>0.0139</v>
      </c>
      <c r="M16" s="189">
        <v>0.0174</v>
      </c>
    </row>
    <row r="17" spans="1:13" s="175" customFormat="1" ht="15.75" thickBot="1">
      <c r="A17" s="178"/>
      <c r="B17" s="179" t="s">
        <v>59</v>
      </c>
      <c r="C17" s="180"/>
      <c r="E17" s="188" t="s">
        <v>60</v>
      </c>
      <c r="F17" s="189">
        <v>0.0059</v>
      </c>
      <c r="G17" s="189">
        <v>0.0123</v>
      </c>
      <c r="H17" s="189">
        <v>0.0139</v>
      </c>
      <c r="J17" s="188" t="s">
        <v>60</v>
      </c>
      <c r="K17" s="189">
        <v>0.0094</v>
      </c>
      <c r="L17" s="189">
        <v>0.0099</v>
      </c>
      <c r="M17" s="189">
        <v>0.0117</v>
      </c>
    </row>
    <row r="18" spans="1:13" s="175" customFormat="1" ht="15.75" thickBot="1">
      <c r="A18" s="181" t="s">
        <v>61</v>
      </c>
      <c r="B18" s="182" t="s">
        <v>62</v>
      </c>
      <c r="C18" s="183">
        <v>0.8</v>
      </c>
      <c r="E18" s="188" t="s">
        <v>63</v>
      </c>
      <c r="F18" s="189">
        <v>0.0616</v>
      </c>
      <c r="G18" s="189">
        <v>0.074</v>
      </c>
      <c r="H18" s="189">
        <v>0.0896</v>
      </c>
      <c r="J18" s="188" t="s">
        <v>63</v>
      </c>
      <c r="K18" s="189">
        <v>0.0674</v>
      </c>
      <c r="L18" s="189">
        <v>0.0804</v>
      </c>
      <c r="M18" s="189">
        <v>0.094</v>
      </c>
    </row>
    <row r="19" spans="1:13" s="175" customFormat="1" ht="27" customHeight="1" thickBot="1">
      <c r="A19" s="181" t="s">
        <v>64</v>
      </c>
      <c r="B19" s="182" t="s">
        <v>63</v>
      </c>
      <c r="C19" s="183">
        <v>6.16</v>
      </c>
      <c r="E19" s="188" t="s">
        <v>65</v>
      </c>
      <c r="F19" s="460" t="s">
        <v>66</v>
      </c>
      <c r="G19" s="461"/>
      <c r="H19" s="462"/>
      <c r="J19" s="188" t="s">
        <v>65</v>
      </c>
      <c r="K19" s="460" t="s">
        <v>66</v>
      </c>
      <c r="L19" s="461"/>
      <c r="M19" s="462"/>
    </row>
    <row r="20" spans="1:10" s="175" customFormat="1" ht="15.75" customHeight="1" thickBot="1">
      <c r="A20" s="194"/>
      <c r="B20" s="191"/>
      <c r="C20" s="192"/>
      <c r="E20" s="470" t="s">
        <v>67</v>
      </c>
      <c r="J20" s="464" t="s">
        <v>68</v>
      </c>
    </row>
    <row r="21" spans="3:13" s="175" customFormat="1" ht="12.75" customHeight="1" thickBot="1">
      <c r="C21" s="193"/>
      <c r="E21" s="459"/>
      <c r="F21" s="185"/>
      <c r="G21" s="185"/>
      <c r="H21" s="185"/>
      <c r="J21" s="459"/>
      <c r="K21" s="185"/>
      <c r="L21" s="185"/>
      <c r="M21" s="185"/>
    </row>
    <row r="22" spans="1:13" s="175" customFormat="1" ht="15.75" thickBot="1">
      <c r="A22" s="195" t="s">
        <v>69</v>
      </c>
      <c r="B22" s="196" t="s">
        <v>70</v>
      </c>
      <c r="C22" s="197">
        <f>+SUM(C23:C26)</f>
        <v>5.65</v>
      </c>
      <c r="E22" s="186" t="s">
        <v>50</v>
      </c>
      <c r="F22" s="187" t="s">
        <v>51</v>
      </c>
      <c r="G22" s="187" t="s">
        <v>52</v>
      </c>
      <c r="H22" s="187" t="s">
        <v>53</v>
      </c>
      <c r="J22" s="186" t="s">
        <v>50</v>
      </c>
      <c r="K22" s="187" t="s">
        <v>51</v>
      </c>
      <c r="L22" s="187" t="s">
        <v>52</v>
      </c>
      <c r="M22" s="187" t="s">
        <v>53</v>
      </c>
    </row>
    <row r="23" spans="1:13" s="175" customFormat="1" ht="15.75" thickBot="1">
      <c r="A23" s="198"/>
      <c r="B23" s="199" t="s">
        <v>71</v>
      </c>
      <c r="C23" s="200">
        <v>0.65</v>
      </c>
      <c r="D23" s="201"/>
      <c r="E23" s="188" t="s">
        <v>56</v>
      </c>
      <c r="F23" s="189">
        <v>0.038</v>
      </c>
      <c r="G23" s="189">
        <v>0.0401</v>
      </c>
      <c r="H23" s="189">
        <v>0.0467</v>
      </c>
      <c r="J23" s="188" t="s">
        <v>56</v>
      </c>
      <c r="K23" s="189">
        <v>0.015</v>
      </c>
      <c r="L23" s="189">
        <v>0.0345</v>
      </c>
      <c r="M23" s="189">
        <v>0.0449</v>
      </c>
    </row>
    <row r="24" spans="1:13" s="175" customFormat="1" ht="15.75" thickBot="1">
      <c r="A24" s="198"/>
      <c r="B24" s="199" t="s">
        <v>72</v>
      </c>
      <c r="C24" s="200">
        <v>3</v>
      </c>
      <c r="D24" s="201"/>
      <c r="E24" s="188" t="s">
        <v>57</v>
      </c>
      <c r="F24" s="189">
        <v>0.0032</v>
      </c>
      <c r="G24" s="189">
        <v>0.004</v>
      </c>
      <c r="H24" s="189">
        <v>0.0074</v>
      </c>
      <c r="J24" s="188" t="s">
        <v>57</v>
      </c>
      <c r="K24" s="189">
        <v>0.003</v>
      </c>
      <c r="L24" s="189">
        <v>0.0048</v>
      </c>
      <c r="M24" s="189">
        <v>0.0082</v>
      </c>
    </row>
    <row r="25" spans="1:13" s="175" customFormat="1" ht="15.75" thickBot="1">
      <c r="A25" s="198"/>
      <c r="B25" s="199" t="s">
        <v>73</v>
      </c>
      <c r="C25" s="202">
        <v>2</v>
      </c>
      <c r="D25" s="201"/>
      <c r="E25" s="188" t="s">
        <v>58</v>
      </c>
      <c r="F25" s="189">
        <v>0.005</v>
      </c>
      <c r="G25" s="189">
        <v>0.0056</v>
      </c>
      <c r="H25" s="189">
        <v>0.0097</v>
      </c>
      <c r="J25" s="188" t="s">
        <v>58</v>
      </c>
      <c r="K25" s="189">
        <v>0.0056</v>
      </c>
      <c r="L25" s="189">
        <v>0.0085</v>
      </c>
      <c r="M25" s="189">
        <v>0.0089</v>
      </c>
    </row>
    <row r="26" spans="1:13" s="175" customFormat="1" ht="15.75" thickBot="1">
      <c r="A26" s="203"/>
      <c r="B26" s="204" t="s">
        <v>119</v>
      </c>
      <c r="C26" s="205"/>
      <c r="D26" s="201"/>
      <c r="E26" s="188" t="s">
        <v>60</v>
      </c>
      <c r="F26" s="189">
        <v>0.0102</v>
      </c>
      <c r="G26" s="189">
        <v>0.0111</v>
      </c>
      <c r="H26" s="189">
        <v>0.0121</v>
      </c>
      <c r="J26" s="188" t="s">
        <v>60</v>
      </c>
      <c r="K26" s="189">
        <v>0.0085</v>
      </c>
      <c r="L26" s="189">
        <v>0.0085</v>
      </c>
      <c r="M26" s="189">
        <v>0.0111</v>
      </c>
    </row>
    <row r="27" spans="1:13" s="175" customFormat="1" ht="15.75" thickBot="1">
      <c r="A27" s="206"/>
      <c r="B27" s="207" t="s">
        <v>74</v>
      </c>
      <c r="C27" s="208">
        <f>SUM(C23:C26)</f>
        <v>5.65</v>
      </c>
      <c r="E27" s="188" t="s">
        <v>63</v>
      </c>
      <c r="F27" s="189">
        <v>0.0664</v>
      </c>
      <c r="G27" s="189">
        <v>0.073</v>
      </c>
      <c r="H27" s="189">
        <v>0.0869</v>
      </c>
      <c r="J27" s="188" t="s">
        <v>63</v>
      </c>
      <c r="K27" s="189">
        <v>0.035</v>
      </c>
      <c r="L27" s="189">
        <v>0.0511</v>
      </c>
      <c r="M27" s="189">
        <v>0.0622</v>
      </c>
    </row>
    <row r="28" spans="1:13" s="175" customFormat="1" ht="28.5" customHeight="1" thickBot="1">
      <c r="A28" s="174"/>
      <c r="B28" s="209"/>
      <c r="C28" s="210"/>
      <c r="E28" s="188" t="s">
        <v>65</v>
      </c>
      <c r="F28" s="460" t="s">
        <v>66</v>
      </c>
      <c r="G28" s="461"/>
      <c r="H28" s="462"/>
      <c r="J28" s="188" t="s">
        <v>65</v>
      </c>
      <c r="K28" s="460" t="s">
        <v>66</v>
      </c>
      <c r="L28" s="461"/>
      <c r="M28" s="462"/>
    </row>
    <row r="29" spans="1:8" s="175" customFormat="1" ht="15.75" thickBot="1">
      <c r="A29" s="211"/>
      <c r="B29" s="212" t="s">
        <v>75</v>
      </c>
      <c r="C29" s="213">
        <f>+(((1+C12/100+C18/100+C14/100)*(1+C13/100)*(1+C19/100))/(1-C22/100))-1</f>
        <v>0.18579811986009576</v>
      </c>
      <c r="F29" s="214">
        <f>F23+F24+F25+F26+F27+8.65%</f>
        <v>0.20929999999999999</v>
      </c>
      <c r="G29" s="214">
        <f>G23+G24+G25+G26+G27+8.65%</f>
        <v>0.2203</v>
      </c>
      <c r="H29" s="214">
        <f>H23+H24+H25+H26+H27+8.65%</f>
        <v>0.24930000000000002</v>
      </c>
    </row>
    <row r="30" spans="3:5" s="175" customFormat="1" ht="15">
      <c r="C30" s="193"/>
      <c r="E30" s="175" t="s">
        <v>76</v>
      </c>
    </row>
    <row r="31" spans="1:3" s="175" customFormat="1" ht="15.75" thickBot="1">
      <c r="A31" s="463"/>
      <c r="B31" s="463"/>
      <c r="C31" s="193"/>
    </row>
    <row r="32" spans="2:8" s="175" customFormat="1" ht="15.75" thickBot="1">
      <c r="B32" s="215"/>
      <c r="C32" s="193"/>
      <c r="E32" s="465" t="s">
        <v>77</v>
      </c>
      <c r="F32" s="466"/>
      <c r="G32" s="466"/>
      <c r="H32" s="467"/>
    </row>
    <row r="33" spans="3:8" s="175" customFormat="1" ht="15.75" thickBot="1">
      <c r="C33" s="216"/>
      <c r="E33" s="217" t="s">
        <v>78</v>
      </c>
      <c r="F33" s="218" t="s">
        <v>51</v>
      </c>
      <c r="G33" s="218" t="s">
        <v>52</v>
      </c>
      <c r="H33" s="218" t="s">
        <v>53</v>
      </c>
    </row>
    <row r="34" spans="3:8" s="175" customFormat="1" ht="15.75" thickBot="1">
      <c r="C34" s="193"/>
      <c r="E34" s="188" t="s">
        <v>79</v>
      </c>
      <c r="F34" s="189">
        <v>0.2034</v>
      </c>
      <c r="G34" s="189">
        <v>0.2212</v>
      </c>
      <c r="H34" s="189">
        <v>0.25</v>
      </c>
    </row>
    <row r="35" spans="2:8" s="175" customFormat="1" ht="15.75" thickBot="1">
      <c r="B35" s="215"/>
      <c r="C35" s="193"/>
      <c r="E35" s="188" t="s">
        <v>80</v>
      </c>
      <c r="F35" s="189">
        <v>0.196</v>
      </c>
      <c r="G35" s="189">
        <v>0.2097</v>
      </c>
      <c r="H35" s="189">
        <v>0.2423</v>
      </c>
    </row>
    <row r="36" spans="2:8" s="175" customFormat="1" ht="29.25" thickBot="1">
      <c r="B36" s="215"/>
      <c r="C36" s="193"/>
      <c r="E36" s="188" t="s">
        <v>81</v>
      </c>
      <c r="F36" s="189">
        <v>0.2076</v>
      </c>
      <c r="G36" s="189">
        <v>0.2418</v>
      </c>
      <c r="H36" s="189">
        <v>0.2644</v>
      </c>
    </row>
    <row r="37" spans="3:8" s="175" customFormat="1" ht="29.25" thickBot="1">
      <c r="C37" s="193"/>
      <c r="E37" s="188" t="s">
        <v>82</v>
      </c>
      <c r="F37" s="189">
        <v>0.24</v>
      </c>
      <c r="G37" s="189">
        <v>0.2584</v>
      </c>
      <c r="H37" s="189">
        <v>0.2786</v>
      </c>
    </row>
    <row r="38" spans="2:8" s="175" customFormat="1" ht="15.75" thickBot="1">
      <c r="B38" s="215"/>
      <c r="C38" s="193"/>
      <c r="E38" s="188" t="s">
        <v>83</v>
      </c>
      <c r="F38" s="189">
        <v>0.228</v>
      </c>
      <c r="G38" s="189">
        <v>0.2748</v>
      </c>
      <c r="H38" s="189">
        <v>0.3095</v>
      </c>
    </row>
    <row r="39" spans="5:8" ht="15" thickBot="1">
      <c r="E39" s="188" t="s">
        <v>84</v>
      </c>
      <c r="F39" s="189">
        <v>0.111</v>
      </c>
      <c r="G39" s="189">
        <v>0.1402</v>
      </c>
      <c r="H39" s="189">
        <v>0.168</v>
      </c>
    </row>
    <row r="41" ht="13.5" thickBot="1"/>
    <row r="42" spans="5:8" ht="15">
      <c r="E42" s="470" t="s">
        <v>67</v>
      </c>
      <c r="F42" s="175"/>
      <c r="G42" s="175"/>
      <c r="H42" s="175"/>
    </row>
    <row r="43" spans="3:8" ht="15.75" thickBot="1">
      <c r="C43" s="219">
        <f>C12+C13+C14+C18+C19+C22</f>
        <v>17.17</v>
      </c>
      <c r="E43" s="459"/>
      <c r="F43" s="185"/>
      <c r="G43" s="185"/>
      <c r="H43" s="185"/>
    </row>
    <row r="44" spans="5:8" ht="15.75" thickBot="1">
      <c r="E44" s="186" t="s">
        <v>50</v>
      </c>
      <c r="F44" s="187" t="s">
        <v>51</v>
      </c>
      <c r="G44" s="187" t="s">
        <v>52</v>
      </c>
      <c r="H44" s="187" t="s">
        <v>53</v>
      </c>
    </row>
    <row r="45" spans="5:8" ht="15" thickBot="1">
      <c r="E45" s="188" t="s">
        <v>56</v>
      </c>
      <c r="F45" s="189">
        <v>0.038</v>
      </c>
      <c r="G45" s="189">
        <v>0.0401</v>
      </c>
      <c r="H45" s="189">
        <v>0.0467</v>
      </c>
    </row>
    <row r="46" spans="5:8" ht="15" thickBot="1">
      <c r="E46" s="188" t="s">
        <v>57</v>
      </c>
      <c r="F46" s="189">
        <v>0.0032</v>
      </c>
      <c r="G46" s="189">
        <v>0.004</v>
      </c>
      <c r="H46" s="189">
        <v>0.0074</v>
      </c>
    </row>
    <row r="47" spans="5:8" ht="15" thickBot="1">
      <c r="E47" s="188" t="s">
        <v>58</v>
      </c>
      <c r="F47" s="189">
        <v>0.005</v>
      </c>
      <c r="G47" s="189">
        <v>0.0056</v>
      </c>
      <c r="H47" s="189">
        <v>0.0097</v>
      </c>
    </row>
    <row r="48" spans="5:8" ht="15" thickBot="1">
      <c r="E48" s="188" t="s">
        <v>60</v>
      </c>
      <c r="F48" s="189">
        <v>0.0102</v>
      </c>
      <c r="G48" s="189">
        <v>0.0111</v>
      </c>
      <c r="H48" s="189">
        <v>0.0121</v>
      </c>
    </row>
    <row r="49" spans="5:8" ht="15" thickBot="1">
      <c r="E49" s="188" t="s">
        <v>63</v>
      </c>
      <c r="F49" s="189">
        <v>0.0664</v>
      </c>
      <c r="G49" s="189">
        <v>0.073</v>
      </c>
      <c r="H49" s="189">
        <v>0.0869</v>
      </c>
    </row>
    <row r="50" spans="5:8" ht="15" thickBot="1">
      <c r="E50" s="188" t="s">
        <v>65</v>
      </c>
      <c r="F50" s="460" t="s">
        <v>66</v>
      </c>
      <c r="G50" s="461"/>
      <c r="H50" s="462"/>
    </row>
    <row r="51" spans="5:8" ht="15">
      <c r="E51" s="175"/>
      <c r="F51" s="220">
        <f>F45+F46+F47+F48+F49+8.65%</f>
        <v>0.20929999999999999</v>
      </c>
      <c r="G51" s="220">
        <f>G45+G46+G47+G48+G49+8.65%</f>
        <v>0.2203</v>
      </c>
      <c r="H51" s="220">
        <f>H45+H46+H47+H48+H49+8.65%</f>
        <v>0.24930000000000002</v>
      </c>
    </row>
  </sheetData>
  <sheetProtection/>
  <mergeCells count="16">
    <mergeCell ref="E32:H32"/>
    <mergeCell ref="A6:D6"/>
    <mergeCell ref="A7:D7"/>
    <mergeCell ref="A8:C8"/>
    <mergeCell ref="E42:E43"/>
    <mergeCell ref="F50:H50"/>
    <mergeCell ref="E20:E21"/>
    <mergeCell ref="F28:H28"/>
    <mergeCell ref="A1:C4"/>
    <mergeCell ref="A5:C5"/>
    <mergeCell ref="J12:M12"/>
    <mergeCell ref="F19:H19"/>
    <mergeCell ref="K19:M19"/>
    <mergeCell ref="A31:B31"/>
    <mergeCell ref="J20:J21"/>
    <mergeCell ref="K28:M28"/>
  </mergeCells>
  <printOptions horizontalCentered="1"/>
  <pageMargins left="0.5118110236220472" right="0.3937007874015748" top="0.5118110236220472" bottom="1.1811023622047245" header="0.5118110236220472" footer="0.5118110236220472"/>
  <pageSetup horizontalDpi="360" verticalDpi="360" orientation="portrait" paperSize="9" r:id="rId2"/>
  <headerFooter alignWithMargins="0"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A10" sqref="A10:A12"/>
    </sheetView>
  </sheetViews>
  <sheetFormatPr defaultColWidth="8.8515625" defaultRowHeight="12.75"/>
  <cols>
    <col min="1" max="1" width="31.28125" style="239" customWidth="1"/>
    <col min="2" max="2" width="21.57421875" style="239" customWidth="1"/>
    <col min="3" max="3" width="19.57421875" style="239" customWidth="1"/>
    <col min="4" max="4" width="16.00390625" style="239" customWidth="1"/>
    <col min="5" max="5" width="12.7109375" style="239" customWidth="1"/>
    <col min="6" max="6" width="8.8515625" style="239" customWidth="1"/>
    <col min="7" max="7" width="15.7109375" style="239" customWidth="1"/>
    <col min="8" max="8" width="11.7109375" style="239" customWidth="1"/>
    <col min="9" max="9" width="11.28125" style="239" customWidth="1"/>
    <col min="10" max="16384" width="8.8515625" style="239" customWidth="1"/>
  </cols>
  <sheetData>
    <row r="1" spans="1:9" ht="12.75">
      <c r="A1" s="238"/>
      <c r="B1" s="477" t="s">
        <v>150</v>
      </c>
      <c r="C1" s="477"/>
      <c r="D1" s="477"/>
      <c r="E1" s="477"/>
      <c r="F1" s="477"/>
      <c r="G1" s="477"/>
      <c r="H1" s="238"/>
      <c r="I1" s="238"/>
    </row>
    <row r="3" spans="1:9" ht="25.5">
      <c r="A3" s="240" t="s">
        <v>151</v>
      </c>
      <c r="B3" s="240" t="s">
        <v>152</v>
      </c>
      <c r="C3" s="240" t="s">
        <v>153</v>
      </c>
      <c r="D3" s="241" t="s">
        <v>159</v>
      </c>
      <c r="E3" s="240" t="s">
        <v>154</v>
      </c>
      <c r="F3" s="240" t="s">
        <v>155</v>
      </c>
      <c r="G3" s="242" t="s">
        <v>156</v>
      </c>
      <c r="H3" s="241" t="s">
        <v>157</v>
      </c>
      <c r="I3" s="240" t="s">
        <v>158</v>
      </c>
    </row>
    <row r="4" spans="1:9" ht="27" customHeight="1">
      <c r="A4" s="478" t="s">
        <v>360</v>
      </c>
      <c r="B4" s="341" t="s">
        <v>525</v>
      </c>
      <c r="C4" s="341" t="s">
        <v>526</v>
      </c>
      <c r="D4" s="341" t="s">
        <v>527</v>
      </c>
      <c r="E4" s="341"/>
      <c r="F4" s="342"/>
      <c r="G4" s="343">
        <v>45272</v>
      </c>
      <c r="H4" s="344">
        <v>28000</v>
      </c>
      <c r="I4" s="481">
        <f>MEDIAN(H4:H6)</f>
        <v>28000</v>
      </c>
    </row>
    <row r="5" spans="1:9" ht="27" customHeight="1">
      <c r="A5" s="479"/>
      <c r="B5" s="341" t="s">
        <v>528</v>
      </c>
      <c r="C5" s="341" t="s">
        <v>529</v>
      </c>
      <c r="D5" s="341" t="s">
        <v>530</v>
      </c>
      <c r="E5" s="341"/>
      <c r="F5" s="342"/>
      <c r="G5" s="343">
        <v>45272</v>
      </c>
      <c r="H5" s="344">
        <v>29000</v>
      </c>
      <c r="I5" s="482"/>
    </row>
    <row r="6" spans="1:9" ht="27" customHeight="1">
      <c r="A6" s="480"/>
      <c r="B6" s="341" t="s">
        <v>531</v>
      </c>
      <c r="C6" s="341" t="s">
        <v>532</v>
      </c>
      <c r="D6" s="341" t="s">
        <v>533</v>
      </c>
      <c r="E6" s="341" t="s">
        <v>534</v>
      </c>
      <c r="F6" s="342"/>
      <c r="G6" s="343">
        <v>45272</v>
      </c>
      <c r="H6" s="344">
        <v>27000</v>
      </c>
      <c r="I6" s="483"/>
    </row>
    <row r="7" spans="1:8" ht="12.75">
      <c r="A7" s="345"/>
      <c r="B7" s="345"/>
      <c r="C7" s="345"/>
      <c r="D7" s="345"/>
      <c r="E7" s="345"/>
      <c r="F7" s="345"/>
      <c r="G7" s="345"/>
      <c r="H7" s="345"/>
    </row>
    <row r="8" spans="1:8" ht="12.75">
      <c r="A8" s="345"/>
      <c r="B8" s="345"/>
      <c r="C8" s="345"/>
      <c r="D8" s="345"/>
      <c r="E8" s="345"/>
      <c r="F8" s="345"/>
      <c r="G8" s="345"/>
      <c r="H8" s="345"/>
    </row>
    <row r="9" spans="1:9" ht="25.5">
      <c r="A9" s="346" t="s">
        <v>151</v>
      </c>
      <c r="B9" s="346" t="s">
        <v>152</v>
      </c>
      <c r="C9" s="346" t="s">
        <v>153</v>
      </c>
      <c r="D9" s="347" t="s">
        <v>159</v>
      </c>
      <c r="E9" s="346" t="s">
        <v>154</v>
      </c>
      <c r="F9" s="346" t="s">
        <v>155</v>
      </c>
      <c r="G9" s="348" t="s">
        <v>156</v>
      </c>
      <c r="H9" s="347" t="s">
        <v>157</v>
      </c>
      <c r="I9" s="240" t="s">
        <v>158</v>
      </c>
    </row>
    <row r="10" spans="1:9" ht="26.25" customHeight="1">
      <c r="A10" s="478" t="s">
        <v>402</v>
      </c>
      <c r="B10" s="341" t="s">
        <v>525</v>
      </c>
      <c r="C10" s="341" t="s">
        <v>526</v>
      </c>
      <c r="D10" s="341" t="s">
        <v>527</v>
      </c>
      <c r="E10" s="341"/>
      <c r="F10" s="342"/>
      <c r="G10" s="343">
        <v>45272</v>
      </c>
      <c r="H10" s="344">
        <v>27000</v>
      </c>
      <c r="I10" s="481">
        <f>MEDIAN(H10:H12)</f>
        <v>27000</v>
      </c>
    </row>
    <row r="11" spans="1:9" ht="26.25" customHeight="1">
      <c r="A11" s="479"/>
      <c r="B11" s="341" t="s">
        <v>528</v>
      </c>
      <c r="C11" s="341" t="s">
        <v>529</v>
      </c>
      <c r="D11" s="341" t="s">
        <v>530</v>
      </c>
      <c r="E11" s="341"/>
      <c r="F11" s="342"/>
      <c r="G11" s="343">
        <v>45272</v>
      </c>
      <c r="H11" s="344">
        <v>27000</v>
      </c>
      <c r="I11" s="482"/>
    </row>
    <row r="12" spans="1:9" ht="26.25" customHeight="1">
      <c r="A12" s="480"/>
      <c r="B12" s="341" t="s">
        <v>531</v>
      </c>
      <c r="C12" s="341" t="s">
        <v>532</v>
      </c>
      <c r="D12" s="341" t="s">
        <v>533</v>
      </c>
      <c r="E12" s="341" t="s">
        <v>534</v>
      </c>
      <c r="F12" s="342"/>
      <c r="G12" s="343">
        <v>45272</v>
      </c>
      <c r="H12" s="344">
        <v>25000</v>
      </c>
      <c r="I12" s="483"/>
    </row>
    <row r="15" spans="1:9" ht="12.75">
      <c r="A15" s="325" t="s">
        <v>151</v>
      </c>
      <c r="B15" s="325" t="s">
        <v>152</v>
      </c>
      <c r="C15" s="325" t="s">
        <v>153</v>
      </c>
      <c r="D15" s="325" t="s">
        <v>387</v>
      </c>
      <c r="E15" s="325" t="s">
        <v>154</v>
      </c>
      <c r="F15" s="325" t="s">
        <v>155</v>
      </c>
      <c r="G15" s="326" t="s">
        <v>156</v>
      </c>
      <c r="H15" s="325" t="s">
        <v>157</v>
      </c>
      <c r="I15" s="325" t="s">
        <v>158</v>
      </c>
    </row>
    <row r="16" spans="1:9" ht="12.75">
      <c r="A16" s="471" t="s">
        <v>388</v>
      </c>
      <c r="B16" s="327" t="s">
        <v>389</v>
      </c>
      <c r="C16" s="328" t="s">
        <v>390</v>
      </c>
      <c r="D16" s="328" t="s">
        <v>391</v>
      </c>
      <c r="E16" s="329" t="s">
        <v>392</v>
      </c>
      <c r="F16" s="330" t="s">
        <v>393</v>
      </c>
      <c r="G16" s="331">
        <v>45205</v>
      </c>
      <c r="H16" s="332">
        <v>58.9</v>
      </c>
      <c r="I16" s="474">
        <f>MEDIAN(H16:H18)</f>
        <v>55.9</v>
      </c>
    </row>
    <row r="17" spans="1:9" ht="12.75">
      <c r="A17" s="472"/>
      <c r="B17" s="328" t="s">
        <v>394</v>
      </c>
      <c r="C17" s="333" t="s">
        <v>395</v>
      </c>
      <c r="D17" s="328" t="s">
        <v>391</v>
      </c>
      <c r="E17" s="334" t="s">
        <v>396</v>
      </c>
      <c r="F17" s="330" t="s">
        <v>397</v>
      </c>
      <c r="G17" s="331">
        <v>45205</v>
      </c>
      <c r="H17" s="332">
        <v>55.9</v>
      </c>
      <c r="I17" s="475"/>
    </row>
    <row r="18" spans="1:9" ht="12.75">
      <c r="A18" s="473"/>
      <c r="B18" s="328" t="s">
        <v>398</v>
      </c>
      <c r="C18" s="328" t="s">
        <v>399</v>
      </c>
      <c r="D18" s="328" t="s">
        <v>391</v>
      </c>
      <c r="E18" s="329" t="s">
        <v>400</v>
      </c>
      <c r="F18" s="330" t="s">
        <v>401</v>
      </c>
      <c r="G18" s="331">
        <v>45205</v>
      </c>
      <c r="H18" s="332">
        <v>49.9</v>
      </c>
      <c r="I18" s="476"/>
    </row>
    <row r="19" spans="1:9" ht="12.75">
      <c r="A19"/>
      <c r="B19"/>
      <c r="C19"/>
      <c r="D19"/>
      <c r="E19"/>
      <c r="F19"/>
      <c r="G19"/>
      <c r="H19"/>
      <c r="I19"/>
    </row>
    <row r="21" spans="1:9" ht="25.5">
      <c r="A21" s="240" t="s">
        <v>151</v>
      </c>
      <c r="B21" s="240" t="s">
        <v>152</v>
      </c>
      <c r="C21" s="240" t="s">
        <v>153</v>
      </c>
      <c r="D21" s="241" t="s">
        <v>159</v>
      </c>
      <c r="E21" s="240" t="s">
        <v>154</v>
      </c>
      <c r="F21" s="240" t="s">
        <v>155</v>
      </c>
      <c r="G21" s="242" t="s">
        <v>156</v>
      </c>
      <c r="H21" s="241" t="s">
        <v>157</v>
      </c>
      <c r="I21" s="240" t="s">
        <v>158</v>
      </c>
    </row>
    <row r="22" spans="1:9" ht="13.5" customHeight="1">
      <c r="A22" s="484" t="s">
        <v>440</v>
      </c>
      <c r="B22" s="349" t="s">
        <v>513</v>
      </c>
      <c r="C22" s="269" t="s">
        <v>514</v>
      </c>
      <c r="D22" s="269" t="s">
        <v>515</v>
      </c>
      <c r="E22" s="269" t="s">
        <v>516</v>
      </c>
      <c r="F22" s="350"/>
      <c r="G22" s="351">
        <v>45267</v>
      </c>
      <c r="H22" s="352">
        <v>239</v>
      </c>
      <c r="I22" s="487">
        <f>MEDIAN(H22:H24)</f>
        <v>272</v>
      </c>
    </row>
    <row r="23" spans="1:9" ht="12.75">
      <c r="A23" s="485"/>
      <c r="B23" s="349" t="s">
        <v>517</v>
      </c>
      <c r="C23" s="269" t="s">
        <v>518</v>
      </c>
      <c r="D23" s="269" t="s">
        <v>519</v>
      </c>
      <c r="E23" s="269" t="s">
        <v>520</v>
      </c>
      <c r="F23" s="353"/>
      <c r="G23" s="351">
        <v>45267</v>
      </c>
      <c r="H23" s="352">
        <v>272</v>
      </c>
      <c r="I23" s="488"/>
    </row>
    <row r="24" spans="1:9" ht="12.75">
      <c r="A24" s="486"/>
      <c r="B24" s="349" t="s">
        <v>521</v>
      </c>
      <c r="C24" s="269" t="s">
        <v>522</v>
      </c>
      <c r="D24" s="269" t="s">
        <v>523</v>
      </c>
      <c r="E24" s="269" t="s">
        <v>524</v>
      </c>
      <c r="F24" s="353"/>
      <c r="G24" s="351">
        <v>45267</v>
      </c>
      <c r="H24" s="352">
        <v>392</v>
      </c>
      <c r="I24" s="489"/>
    </row>
    <row r="27" spans="1:9" ht="25.5">
      <c r="A27" s="240" t="s">
        <v>151</v>
      </c>
      <c r="B27" s="240" t="s">
        <v>152</v>
      </c>
      <c r="C27" s="240" t="s">
        <v>153</v>
      </c>
      <c r="D27" s="241" t="s">
        <v>159</v>
      </c>
      <c r="E27" s="240" t="s">
        <v>154</v>
      </c>
      <c r="F27" s="240" t="s">
        <v>155</v>
      </c>
      <c r="G27" s="242" t="s">
        <v>156</v>
      </c>
      <c r="H27" s="241" t="s">
        <v>157</v>
      </c>
      <c r="I27" s="240" t="s">
        <v>158</v>
      </c>
    </row>
    <row r="28" spans="1:9" ht="12.75">
      <c r="A28" s="484" t="s">
        <v>506</v>
      </c>
      <c r="B28" s="354" t="s">
        <v>507</v>
      </c>
      <c r="C28" s="354"/>
      <c r="D28" s="354"/>
      <c r="E28" s="354"/>
      <c r="F28" s="355"/>
      <c r="G28" s="356">
        <v>45268</v>
      </c>
      <c r="H28" s="357">
        <v>655.28</v>
      </c>
      <c r="I28" s="487">
        <f>MEDIAN(H28:H30)</f>
        <v>655.28</v>
      </c>
    </row>
    <row r="29" spans="1:9" ht="25.5">
      <c r="A29" s="485"/>
      <c r="B29" s="354" t="s">
        <v>508</v>
      </c>
      <c r="C29" s="354"/>
      <c r="D29" s="354"/>
      <c r="E29" s="354"/>
      <c r="F29" s="355"/>
      <c r="G29" s="356">
        <v>45268</v>
      </c>
      <c r="H29" s="357">
        <v>849</v>
      </c>
      <c r="I29" s="488"/>
    </row>
    <row r="30" spans="1:9" ht="25.5">
      <c r="A30" s="486"/>
      <c r="B30" s="354" t="s">
        <v>509</v>
      </c>
      <c r="C30" s="354"/>
      <c r="D30" s="354"/>
      <c r="E30" s="354"/>
      <c r="F30" s="355"/>
      <c r="G30" s="356">
        <v>45268</v>
      </c>
      <c r="H30" s="357">
        <v>598.49</v>
      </c>
      <c r="I30" s="489"/>
    </row>
    <row r="33" spans="1:9" ht="25.5">
      <c r="A33" s="240" t="s">
        <v>151</v>
      </c>
      <c r="B33" s="240" t="s">
        <v>152</v>
      </c>
      <c r="C33" s="240" t="s">
        <v>153</v>
      </c>
      <c r="D33" s="241" t="s">
        <v>159</v>
      </c>
      <c r="E33" s="240" t="s">
        <v>154</v>
      </c>
      <c r="F33" s="240" t="s">
        <v>155</v>
      </c>
      <c r="G33" s="242" t="s">
        <v>156</v>
      </c>
      <c r="H33" s="241" t="s">
        <v>157</v>
      </c>
      <c r="I33" s="240" t="s">
        <v>158</v>
      </c>
    </row>
    <row r="34" spans="1:9" ht="21" customHeight="1">
      <c r="A34" s="484" t="s">
        <v>441</v>
      </c>
      <c r="B34" s="354" t="s">
        <v>510</v>
      </c>
      <c r="C34" s="354"/>
      <c r="D34" s="354"/>
      <c r="E34" s="354"/>
      <c r="F34" s="355"/>
      <c r="G34" s="356">
        <v>45268</v>
      </c>
      <c r="H34" s="357">
        <v>489.9</v>
      </c>
      <c r="I34" s="487">
        <f>MEDIAN(H34:H36)</f>
        <v>409.9</v>
      </c>
    </row>
    <row r="35" spans="1:9" ht="21" customHeight="1">
      <c r="A35" s="485"/>
      <c r="B35" s="354" t="s">
        <v>511</v>
      </c>
      <c r="C35" s="354"/>
      <c r="D35" s="354"/>
      <c r="E35" s="354"/>
      <c r="F35" s="355"/>
      <c r="G35" s="356">
        <v>45268</v>
      </c>
      <c r="H35" s="357">
        <v>409.9</v>
      </c>
      <c r="I35" s="488"/>
    </row>
    <row r="36" spans="1:9" ht="21" customHeight="1">
      <c r="A36" s="486"/>
      <c r="B36" s="354" t="s">
        <v>512</v>
      </c>
      <c r="C36" s="354"/>
      <c r="D36" s="354"/>
      <c r="E36" s="354"/>
      <c r="F36" s="355"/>
      <c r="G36" s="356">
        <v>45268</v>
      </c>
      <c r="H36" s="357">
        <v>391.05</v>
      </c>
      <c r="I36" s="489"/>
    </row>
  </sheetData>
  <sheetProtection/>
  <mergeCells count="13">
    <mergeCell ref="A22:A24"/>
    <mergeCell ref="I22:I24"/>
    <mergeCell ref="A28:A30"/>
    <mergeCell ref="I28:I30"/>
    <mergeCell ref="A34:A36"/>
    <mergeCell ref="I34:I36"/>
    <mergeCell ref="A16:A18"/>
    <mergeCell ref="I16:I18"/>
    <mergeCell ref="B1:G1"/>
    <mergeCell ref="A10:A12"/>
    <mergeCell ref="I10:I12"/>
    <mergeCell ref="A4:A6"/>
    <mergeCell ref="I4:I6"/>
  </mergeCells>
  <hyperlinks>
    <hyperlink ref="F18" r:id="rId1" display="https://www.carajasonline.com/revestimento-tecnogres-br10180-10x10a-144m2-azul-080300103/p?idsku=13059&amp;utm_source=googleshopping&amp;utm_campaign=FullCatalog&amp;gclid=Cj0KCQiAj9iBBhCJARIsAE9qRtCRtGdhXinNWdO9VbILKKMrvonlNXneq1qZse0o-5zvLbPK1RcifhIaAvA9EALw_wcB"/>
    <hyperlink ref="F16" r:id="rId2" display="https://www.ferreiracosta.com/Produto/171038/ceramica-br10090-brilhante-tipo-a-10x10cm-144m-amarelo-tecnogres"/>
    <hyperlink ref="F17" r:id="rId3" display="https://www.tupan.com.br/revestimento-10x10-amarelo-brilhante-tipo-a--refbr10090--tecnogres-83850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licitação</cp:lastModifiedBy>
  <cp:lastPrinted>2023-07-27T11:53:17Z</cp:lastPrinted>
  <dcterms:created xsi:type="dcterms:W3CDTF">2015-04-20T12:42:49Z</dcterms:created>
  <dcterms:modified xsi:type="dcterms:W3CDTF">2024-03-07T08:58:08Z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0x01010071FB31220190154EBC541B2A3063C5C8</vt:lpwstr>
  </property>
</Properties>
</file>